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14" activeTab="0"/>
  </bookViews>
  <sheets>
    <sheet name="Planilha" sheetId="1" r:id="rId1"/>
    <sheet name="Cronograma" sheetId="2" r:id="rId2"/>
    <sheet name="Plan1" sheetId="3" r:id="rId3"/>
  </sheets>
  <definedNames>
    <definedName name="_xlnm.Print_Area" localSheetId="1">'Cronograma'!$A$111:$P$162</definedName>
    <definedName name="_xlnm.Print_Area" localSheetId="0">'Planilha'!$A$1:$J$552</definedName>
    <definedName name="_xlnm.Print_Titles" localSheetId="0">'Planilha'!$9:$9</definedName>
  </definedNames>
  <calcPr fullCalcOnLoad="1"/>
</workbook>
</file>

<file path=xl/sharedStrings.xml><?xml version="1.0" encoding="utf-8"?>
<sst xmlns="http://schemas.openxmlformats.org/spreadsheetml/2006/main" count="1798" uniqueCount="1073">
  <si>
    <t>ITEM</t>
  </si>
  <si>
    <t>DESCRIÇÃO DOS SERVIÇOS</t>
  </si>
  <si>
    <t>ETAPA</t>
  </si>
  <si>
    <t>(R$)</t>
  </si>
  <si>
    <t>% Mensal</t>
  </si>
  <si>
    <t>% Acumulado</t>
  </si>
  <si>
    <t>TOTAL GERAL + BDI</t>
  </si>
  <si>
    <t>PERIODO - DIAS</t>
  </si>
  <si>
    <t>Total Mensal R$ c/ BDI</t>
  </si>
  <si>
    <t>Total Acumulado R$ c/ BDI</t>
  </si>
  <si>
    <t>UNIVERSIDADE ESTADUAL DE CAMPINAS</t>
  </si>
  <si>
    <t>DISCRIMINAÇÃO</t>
  </si>
  <si>
    <t>QUANT. CONTRATO</t>
  </si>
  <si>
    <t xml:space="preserve"> </t>
  </si>
  <si>
    <t xml:space="preserve">BDI </t>
  </si>
  <si>
    <t>UNID</t>
  </si>
  <si>
    <t>% da etapa</t>
  </si>
  <si>
    <t>Coordenadoria do Campus</t>
  </si>
  <si>
    <t>Faculdade de Odontologia de Piracicaba/FOP</t>
  </si>
  <si>
    <t xml:space="preserve">               FACULDADE DE ODONTOLOGIA DE PIRACICABA/FOP</t>
  </si>
  <si>
    <t xml:space="preserve">               Coordenadoria do Campus</t>
  </si>
  <si>
    <t>OBRA:CONSTRUÇÃO DO EDIFÍCIO DE CLÍNICA E PRÉ-CLÍNICA</t>
  </si>
  <si>
    <t>P L A N I L H A       O R Ç A M E N T Á R I A</t>
  </si>
  <si>
    <t>SERVIÇOS PRELIMINARES</t>
  </si>
  <si>
    <t>Instalação e transporte de equipamento de sondagem (atualização pré-obra)</t>
  </si>
  <si>
    <t>Sondagem do terreno à percussão (atualização pré-obra)</t>
  </si>
  <si>
    <t>Construção provisória em madeira - fornecimento e montagem</t>
  </si>
  <si>
    <t>Desmobilização de construção provisória (ao final da obra)</t>
  </si>
  <si>
    <t>Tapume fixo para fechamento de áreas, com portão</t>
  </si>
  <si>
    <t>Placa de identificação para obra</t>
  </si>
  <si>
    <t>SERVIÇOS COMPLEMENTARES</t>
  </si>
  <si>
    <t>Limpeza do Terreno e Movimentação de Terra (edificação)</t>
  </si>
  <si>
    <t>1.1</t>
  </si>
  <si>
    <t>1.2</t>
  </si>
  <si>
    <t>1.3</t>
  </si>
  <si>
    <t>1.4</t>
  </si>
  <si>
    <t>1.5</t>
  </si>
  <si>
    <t>1.6</t>
  </si>
  <si>
    <t>1.7</t>
  </si>
  <si>
    <t>Locação de obra de edificação</t>
  </si>
  <si>
    <t>Escavação e carga mecanizada em solo de 1ª categoria, em campo aberto</t>
  </si>
  <si>
    <t>Aterro mecanizado por compensação, solo de 1ª categoria em campo aberto, sem compactação do aterro</t>
  </si>
  <si>
    <t>Compactação de aterro mecanizado mínimo de 95% PN, sem fornecimento de solo em campo aberto</t>
  </si>
  <si>
    <t>Limpeza do Terreno e Movimentação de Terra (estacionamento)</t>
  </si>
  <si>
    <t>1.8</t>
  </si>
  <si>
    <t>1.8.1</t>
  </si>
  <si>
    <t>Lastro de pedra britada</t>
  </si>
  <si>
    <t>1.8.2</t>
  </si>
  <si>
    <t>INFRA-ESTRUTURA</t>
  </si>
  <si>
    <t>UN.</t>
  </si>
  <si>
    <t>M2</t>
  </si>
  <si>
    <t>M3</t>
  </si>
  <si>
    <t>1.8.3</t>
  </si>
  <si>
    <t>1.8.4</t>
  </si>
  <si>
    <t>1.8.5</t>
  </si>
  <si>
    <t>1.8.6</t>
  </si>
  <si>
    <t>1.9</t>
  </si>
  <si>
    <t>1.9.1</t>
  </si>
  <si>
    <t>1.9.2</t>
  </si>
  <si>
    <t>Administração local</t>
  </si>
  <si>
    <t>mês</t>
  </si>
  <si>
    <t>TUBULÕES</t>
  </si>
  <si>
    <t>2.1</t>
  </si>
  <si>
    <t>2.1.1</t>
  </si>
  <si>
    <t>Taxa de mobilização para tubulão escavado mecanicamente</t>
  </si>
  <si>
    <t>Abertura de fuste mecanizado diâmetro de 80 cm</t>
  </si>
  <si>
    <t>Alargamento de base a céu aberto</t>
  </si>
  <si>
    <t>Forma em compensado para encamisamento de tubulão</t>
  </si>
  <si>
    <t>Lançamento e adensamento de concreto ou massa em fundação</t>
  </si>
  <si>
    <t>Concreto usinado, fck = 20,0 MPa - para bombeamento</t>
  </si>
  <si>
    <t>Concreto usinado, fck = 30,0 MPa - para bombeamento</t>
  </si>
  <si>
    <t>Armadura em barra de aço CA-50 (A ou B) fyk= 500 MPa</t>
  </si>
  <si>
    <t>Estaca escavada mecanicamente, diâmetro de 60 cm até 50 t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</si>
  <si>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</si>
  <si>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</si>
  <si>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</si>
  <si>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</si>
  <si>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</si>
  <si>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</si>
  <si>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</si>
  <si>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</si>
  <si>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M</t>
  </si>
  <si>
    <t>KG</t>
  </si>
  <si>
    <t>Blocos, Vigas baldrame e bases para blocos</t>
  </si>
  <si>
    <t>2.2</t>
  </si>
  <si>
    <t>Escavação e carga mecanizada em solo de 1ª categoria, em campo aberto - corte de terra</t>
  </si>
  <si>
    <t>Forma em madeira comum para fundação (blocos e vigas baldrames)</t>
  </si>
  <si>
    <t>Armadura em barra de aço CA-60 (A ou B) fyk= 600 MPa</t>
  </si>
  <si>
    <t>Reaterro manual apiloado sem controle de compactação</t>
  </si>
  <si>
    <t>Impermeabilização em argamassa impermeável com aditivo hidrófugo (respaldo da alvenaria de embasamento)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</si>
  <si>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</si>
  <si>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</si>
  <si>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</si>
  <si>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</si>
  <si>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</si>
  <si>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</si>
  <si>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</si>
  <si>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</si>
  <si>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</si>
  <si>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Muro de Arrimo</t>
  </si>
  <si>
    <t>2.3</t>
  </si>
  <si>
    <t>Alvenaria de bloco de concreto de vedação, uso aparente, de 19 cm</t>
  </si>
  <si>
    <t>2.3.1</t>
  </si>
  <si>
    <t>2.3.2</t>
  </si>
  <si>
    <t>2.3.3</t>
  </si>
  <si>
    <t>2.3.4</t>
  </si>
  <si>
    <t>SUPERESTRUTURA</t>
  </si>
  <si>
    <t>Estrutura moldada in loco de concreto</t>
  </si>
  <si>
    <t>3.1</t>
  </si>
  <si>
    <t>Forma em madeira comum para estrutura (reaproveitamento 3x)</t>
  </si>
  <si>
    <t>Forma curva em compensado para estrutura aparente (lajes maciças)</t>
  </si>
  <si>
    <t>Lançamento e adensamento de concreto ou massa em estrutura</t>
  </si>
  <si>
    <t>Laje pré-fabricada mista vigota protendida/lajota cerâmica - LP 16 (12+4) e capa com concreto de 20MPa</t>
  </si>
  <si>
    <t>Laje pré-fabricada mista vigota protendida/lajota cerâmica - LP 21 (16+5) e capa com concreto de 20MPa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</si>
  <si>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</si>
  <si>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</si>
  <si>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</si>
  <si>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</si>
  <si>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</si>
  <si>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</si>
  <si>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</si>
  <si>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</si>
  <si>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</t>
  </si>
  <si>
    <t>Estrutura metálica</t>
  </si>
  <si>
    <t>Fornecimento e montagem de estrutura em aço ASTM-A36, sem pintura</t>
  </si>
  <si>
    <t>3.2.1</t>
  </si>
  <si>
    <t>ALVENARIAS E DIVISÓRIAS</t>
  </si>
  <si>
    <t>Alvenaria de embasamento em tijolo maciço comum</t>
  </si>
  <si>
    <t>Alvenaria de bloco de concreto de vedação, uso revestido, de 14 cm</t>
  </si>
  <si>
    <t>Alvenaria de bloco de concreto de vedação, uso revestido, de 19 cm</t>
  </si>
  <si>
    <t>Elemento vazado em concreto, tipo quadriculado - 39 x 39 x 10 cm</t>
  </si>
  <si>
    <t>Fechamento e divisória em placas de gesso acartonado, resistência ao fogo 30 minutos, espessura total de 10 cm (unidades de atendimento)</t>
  </si>
  <si>
    <t>Divisória em placas de granito com espessura de 3 cm</t>
  </si>
  <si>
    <t>4.1</t>
  </si>
  <si>
    <t>4.2</t>
  </si>
  <si>
    <t>4.3</t>
  </si>
  <si>
    <t>4.4</t>
  </si>
  <si>
    <t>4.5</t>
  </si>
  <si>
    <t>4.6</t>
  </si>
  <si>
    <t>IMPERMEABILIZAÇÃO DE LAJES DE COBERTURA</t>
  </si>
  <si>
    <t>5.1</t>
  </si>
  <si>
    <t>Impermeabilização em membrana de asfalto modificado com elastômeros, na cor preta e reforço em tela poliéster (lajes maciças)</t>
  </si>
  <si>
    <t>COBERTURA</t>
  </si>
  <si>
    <t>Cumeeira em chapa de aço pré-pintada com epóxi e poliéster, perfil trapezoidal, com espessura de 0,50 mm</t>
  </si>
  <si>
    <t>Telhamento em chapa de aço com pintura poliéster, tipo sanduíche, espessura de 0,50 mm, com poliestireno expandido</t>
  </si>
  <si>
    <t>Cumeeira em chapa de aço pré-pintada com epóxi e poliéster, perfil trapezoidal, com espessura de 0,50 mm (cobertura de vidro)</t>
  </si>
  <si>
    <t>Calha, rufo, afins em chapa galvanizada nº 24 - corte 0,33 m (coberturas de vidro)</t>
  </si>
  <si>
    <t>6.1</t>
  </si>
  <si>
    <t>6.2</t>
  </si>
  <si>
    <t>6.3</t>
  </si>
  <si>
    <t>6.4</t>
  </si>
  <si>
    <t>6.5</t>
  </si>
  <si>
    <t>ELEMENTOS DE MADEIRA</t>
  </si>
  <si>
    <t>Porta em laminado fenólico melamínico com acabamento liso, batente de madeira sem revestimento - 82 x 210 cm (PM1 e PM2)</t>
  </si>
  <si>
    <t>Porta em laminado fenólico melamínico com acabamento liso, batente de madeira sem revestimento - 130 x 210 cm (PM3)</t>
  </si>
  <si>
    <t>Folha de porta em laminado fenólico melamínico com acabamento liso, 92 x 210 cm (PM4, PM5 e PM6)</t>
  </si>
  <si>
    <t>7.1</t>
  </si>
  <si>
    <t>7.2</t>
  </si>
  <si>
    <t>7.3</t>
  </si>
  <si>
    <t>Ferragens e Complementos para porta de madeira</t>
  </si>
  <si>
    <t>7.4</t>
  </si>
  <si>
    <t>Ferragem completa com maçaneta tipo alavanca para porta interna com 1 folha (PM1 e PM2)</t>
  </si>
  <si>
    <t>Ferragem completa com maçaneta tipo alavanca para porta interna com 2 folhas (PM3)</t>
  </si>
  <si>
    <t>Visor fixo e requadro de madeira para porta, para receber vidro (PM3, PM4, PM5 e PM6)</t>
  </si>
  <si>
    <t>Dobradiça em latão cromado, com mola tipo vai e vem, de 3´ (PM4, PM5 e PM6)</t>
  </si>
  <si>
    <t>Revestimento em chapa de aço inoxidável para proteção de portas, altura de 40 cm (PM2, PM4, PM5 e PM6)</t>
  </si>
  <si>
    <t>7.4.1</t>
  </si>
  <si>
    <t>7.4.2</t>
  </si>
  <si>
    <t>7.4.3</t>
  </si>
  <si>
    <t>7.4.4</t>
  </si>
  <si>
    <t>7.4.5</t>
  </si>
  <si>
    <t>CJ</t>
  </si>
  <si>
    <t>PAR</t>
  </si>
  <si>
    <t>ELEMENTOS METÁLICOS</t>
  </si>
  <si>
    <t>Alçapão/tampa em chapa de ferro com porta cadeado</t>
  </si>
  <si>
    <t>Caixilho em alumínio basculante, sob medida (CA2, CA4 e CA5)</t>
  </si>
  <si>
    <t>Caixilho em alumínio maximar, sob medida (CA1 e CA3)</t>
  </si>
  <si>
    <t>Caixilho guilhotina em alumínio anodizado, sob medida (CA6 e CA7)</t>
  </si>
  <si>
    <t>Porta veneziana de abrir em alumínio, cor branca (PA2 e PA3)</t>
  </si>
  <si>
    <t>Porta/portão de abrir em chapa, sob medida (PA1)</t>
  </si>
  <si>
    <t>Brise metálico, espessura 0,5 mm em chapa microperfurada aluzinc, fixado sobre estrutura auxiliar, conforme projeto</t>
  </si>
  <si>
    <t>Corrimão tubular em aço galvanizado, diâmetro 1 1/2´</t>
  </si>
  <si>
    <t>Guarda-corpo tubular com tela em aço galvanizado, diâmetro de 1 1/2´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</si>
  <si>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</si>
  <si>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</si>
  <si>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</si>
  <si>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</si>
  <si>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</si>
  <si>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</si>
  <si>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</si>
  <si>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</si>
  <si>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</si>
  <si>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Ferragens e Complementos</t>
  </si>
  <si>
    <t>8.10</t>
  </si>
  <si>
    <t>Ferragem completa com maçaneta tipo alavanca para porta externa com 1 folha (PA2)</t>
  </si>
  <si>
    <t>Ferragem completa com maçaneta tipo alavanca para porta externa com 2 folhas (PA3)</t>
  </si>
  <si>
    <t>Puxador duplo em aço inoxidável, para porta de madeira, alumínio ou vidro, de 350 mm (PA1)</t>
  </si>
  <si>
    <t>Barra antipânico de sobrepor para porta de 1 folha (PA1)</t>
  </si>
  <si>
    <t>8.10.1</t>
  </si>
  <si>
    <t>8.10.2</t>
  </si>
  <si>
    <t>8.10.3</t>
  </si>
  <si>
    <t>8.10.4</t>
  </si>
  <si>
    <t>Chapisco</t>
  </si>
  <si>
    <t>Emboço desempenado com argamassa industrializada</t>
  </si>
  <si>
    <t>Revestimento em placa cerâmica esmaltada para paredes de 20 x 20 cm, assentado com argamassa AC-I colante industrializada</t>
  </si>
  <si>
    <t>Revestimento em pastilha de porcelana natural ou esmaltada de 5 x 5 cm, assentado e rejuntado com argamassa colante industrializada (fachada recepção)</t>
  </si>
  <si>
    <t>Peitoril e/ou soleira em granito verde-ubatuba, espessura de 2 cm e largura de 21 até 30 cm</t>
  </si>
  <si>
    <t>9.1</t>
  </si>
  <si>
    <t>9.2</t>
  </si>
  <si>
    <t>9.3</t>
  </si>
  <si>
    <t>9.4</t>
  </si>
  <si>
    <t>9.5</t>
  </si>
  <si>
    <t>PISOS</t>
  </si>
  <si>
    <t>Lastro de concreto impermeabilizado</t>
  </si>
  <si>
    <t>Argamassa de regularização e/ou proteção</t>
  </si>
  <si>
    <t>Cimentado desempenado (área externa e abrigo de máquinas)</t>
  </si>
  <si>
    <t>Nivelamento de piso em concreto com acabadora de superfície (área externa e abrigo de máquinas)</t>
  </si>
  <si>
    <t>Rodapé em cimentado desempenado e alisado com altura 5 cm (área externa e abrigo de máquinas)</t>
  </si>
  <si>
    <t>Revestimento vinílico em manta heterogênea, espessura 2mm, cor cinza claro</t>
  </si>
  <si>
    <t>Revestimento vinílico em manta heterogênea, espessura 2mm, cor cinza escuro</t>
  </si>
  <si>
    <t>Revestimento vinílico em manta heterogênea, espessura 2mm, cor bege claro</t>
  </si>
  <si>
    <t>Rodapé vinílico hospitalar de 7,5 cm, com impermeabilizante acrílico</t>
  </si>
  <si>
    <t>Piso cerâmico esmaltado PEI-4 resistência química A, para áreas internas sujeitas à lavagem frequente, assentado com argamassa colante industrializada</t>
  </si>
  <si>
    <t>Rodapé cerâmico esmaltado PEI-4 resistência química A, para áreas internas sujeitas à lavagem frequente, assentado com argamassa colante industrializada</t>
  </si>
  <si>
    <t>Revestimento em granito verde-ubatuba com 2 cm de espessura, assente com massa (escadas)</t>
  </si>
  <si>
    <t>Piso em placas pré-moldadas de concreto rejuntado com grama</t>
  </si>
  <si>
    <t>Piso em ladrilho hidráulico podotátil várias cores 25 x 25 x 2,5 cm, assentado com argamassa mista</t>
  </si>
  <si>
    <t>Rejuntamento de piso em ladrilho hidráulico (25 x 25 x 2,5 cm) com argamassa industrializada para rejunte, juntas de 2 mm</t>
  </si>
  <si>
    <t>Fita de borracha para sinalização tátil antiderrapante, de fotoluminescente, para degraus, comprimento de 20 cm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</si>
  <si>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</si>
  <si>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</si>
  <si>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</si>
  <si>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</si>
  <si>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</si>
  <si>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</si>
  <si>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</si>
  <si>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</si>
  <si>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</si>
  <si>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</si>
  <si>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</si>
  <si>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</si>
  <si>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</si>
  <si>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</si>
  <si>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</si>
  <si>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</si>
  <si>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FORRO</t>
  </si>
  <si>
    <t>Forro de gesso removível com película rígida de PVC de 625 x 625mm</t>
  </si>
  <si>
    <t>Forro em placa de gesso liso fixo</t>
  </si>
  <si>
    <t>11.1</t>
  </si>
  <si>
    <t>11.2</t>
  </si>
  <si>
    <t>VIDROS E ESPELHOS</t>
  </si>
  <si>
    <t>Vidro liso transparente de 6 mm (visor PM3, PM4, PM5 e PM6)</t>
  </si>
  <si>
    <t>Vidro liso transparente de 5 mm (CA1 a CA7)</t>
  </si>
  <si>
    <t>Vidro temperado incolor de 10 mm (PM5 e PM6)</t>
  </si>
  <si>
    <t>Vidro temperado incolor de 10 mm (PA1)</t>
  </si>
  <si>
    <t>Vidro temperado incolor de 10 mm (PV1, PV2 e PV3)</t>
  </si>
  <si>
    <t>Vidro temperado incolor de 10 mm (CV1 a CV8)</t>
  </si>
  <si>
    <t>Vidro liso laminado incolor de 10 mm (cobertura de vidro e marquises)</t>
  </si>
  <si>
    <t>12.1</t>
  </si>
  <si>
    <t>12.2</t>
  </si>
  <si>
    <t>12.3</t>
  </si>
  <si>
    <t>12.4</t>
  </si>
  <si>
    <t>12.5</t>
  </si>
  <si>
    <t>12.6</t>
  </si>
  <si>
    <t>12.7</t>
  </si>
  <si>
    <t>Ferragens e Complementos para Esquadrias de Vidro Temperado</t>
  </si>
  <si>
    <t>12.8</t>
  </si>
  <si>
    <t>Dobradiça inferior para porta de vidro temperado (PV2 e PV3)</t>
  </si>
  <si>
    <t>Dobradiça superior para porta de vidro temperado (PV2 e PV3)</t>
  </si>
  <si>
    <t>Pivô superior lateral para porta em vidro temperado (PV2 e PV3)</t>
  </si>
  <si>
    <t>Mancal inferior com rolamento para porta em vidro temperado (PV2 e PV3)</t>
  </si>
  <si>
    <t>Espelho para trinco de piso para porta em vidro temperado (PV2 e PV3)</t>
  </si>
  <si>
    <t>Trinco de piso para porta em vidro temperado (PV2 e PV3)</t>
  </si>
  <si>
    <t>Barra antipânico com travamento horizontal e vertical com fechadura, para porta dupla, vãos de 1,40 a 1,60 m  (PV2 e PV3)</t>
  </si>
  <si>
    <t>Puxador duplo em aço inoxidável, para porta de madeira, alumínio ou vidro, de 350 mm  (PV2 e PV3)</t>
  </si>
  <si>
    <t>Fechadura de centro com cilíndro para porta em vidro temperado  (PV2 e PV3)</t>
  </si>
  <si>
    <t>Capa de proteção para fechadura / ferrolho  (PV2 e PV3)</t>
  </si>
  <si>
    <t>Mola hidráulica de piso, para porta com largura até 1,10 m e peso até 120 kg  (PV2 e PV3)</t>
  </si>
  <si>
    <t>Mecanismo, estrutura e sensor de porta de correr automática(PV1)</t>
  </si>
  <si>
    <t xml:space="preserve">Película decorativa adesiva para vidros  (padrão faixas jateadas) </t>
  </si>
  <si>
    <t>12.8.1</t>
  </si>
  <si>
    <t>12.8.2</t>
  </si>
  <si>
    <t>12.8.3</t>
  </si>
  <si>
    <t>12.8.4</t>
  </si>
  <si>
    <t>12.8.5</t>
  </si>
  <si>
    <t>12.8.6</t>
  </si>
  <si>
    <t>12.8.7</t>
  </si>
  <si>
    <t>12.8.8</t>
  </si>
  <si>
    <t>12.8.9</t>
  </si>
  <si>
    <t>12.8.10</t>
  </si>
  <si>
    <t>12.8.11</t>
  </si>
  <si>
    <t>12.8.12</t>
  </si>
  <si>
    <t>12.8.13</t>
  </si>
  <si>
    <t>PINTURA</t>
  </si>
  <si>
    <t>Massa corrida a base de PVA (sobre divisórias de gesso acartonado)</t>
  </si>
  <si>
    <t>Massa corrida a base de PVA (sobre alveanarias internas)</t>
  </si>
  <si>
    <t>Tinta látex em massa, cor branca, inclusive preparo, cor branca (alvenarias internas)</t>
  </si>
  <si>
    <t>Tinta látex em massa, cor branca, inclusive preparo, cor branca (lajes)</t>
  </si>
  <si>
    <t>Tinta látex em massa, cor branca, inclusive preparo, cor branca (alvenarias externas e faces externas vigas)</t>
  </si>
  <si>
    <t>Tinta látex em massa, cor branca, inclusive preparo, cor cinza (faces externas pilares, lajes, empenas e aletas de alvenaria)</t>
  </si>
  <si>
    <t>Esmalte em estrutura metálica  (cobertura de acesso e marquises)</t>
  </si>
  <si>
    <t>Esmalte em superfície metálica, inclusive preparo (cumeeira, calhas e rufos)</t>
  </si>
  <si>
    <t>Esmalte em superfície metálica, inclusive preparo (alçapão)</t>
  </si>
  <si>
    <t>Esmalte em superfície metálica, inclusive preparo (PA1)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</si>
  <si>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</si>
  <si>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</si>
  <si>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</si>
  <si>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</si>
  <si>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</si>
  <si>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</si>
  <si>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</si>
  <si>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</si>
  <si>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</si>
  <si>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</si>
  <si>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INSTALAÇÕES HIDRÁULICAS</t>
  </si>
  <si>
    <t>14.1</t>
  </si>
  <si>
    <t>14.1.1</t>
  </si>
  <si>
    <t>LOUÇAS E METAIS</t>
  </si>
  <si>
    <t>Assento para bacia sanitária com abertura frontal, para pessoas com mobilidade reduzida</t>
  </si>
  <si>
    <t>Lavatório de louça para canto sem coluna para pessoas com mobilidade reduzida</t>
  </si>
  <si>
    <t>Bacia sifonada de louça sem tampa, linha tradicional, para pessoas com mobilidade reduzida - 6 litros</t>
  </si>
  <si>
    <t>Barra de apoio reta, para pessoas com mobilidade reduzida, em tubo de aço inoxidável de 1 1/2´ x 800 mm</t>
  </si>
  <si>
    <t>Barra de proteção para lavatório, para pessoas com mobilidade reduzida, em tubo de alumínio acabamento com pintura epóxi</t>
  </si>
  <si>
    <t>Trocador acessível em MDF com revestimento em laminado melamínico de 180x80cm</t>
  </si>
  <si>
    <t>Bacia sifonada com caixa de descarga acoplada - 6 litros</t>
  </si>
  <si>
    <t>Mictório de louça sifonado auto aspirante</t>
  </si>
  <si>
    <t>Válvula de mictório padrão, vazão automática, DN= 3/4´</t>
  </si>
  <si>
    <t>Cuba de louça de embutir oval (sanitarios)</t>
  </si>
  <si>
    <t>Torneira de mesa para lavatório compacta, acionamento hidromecânico, em latão cromado, DN= 1/2´</t>
  </si>
  <si>
    <t>Dispenser toalheiro em ABS e policarbonato para bobina de 20cm x 20m, com alavanca</t>
  </si>
  <si>
    <t>Dispenser papel higienico em ABS para rolão 300/600m, com visor</t>
  </si>
  <si>
    <t>Saboneteira tipo dispenser, para refil de 800 ml</t>
  </si>
  <si>
    <t>Cuba de louça de embutir redonda</t>
  </si>
  <si>
    <t>Torneira de mesa para pia com bica móvel e arejador em latão fundido cromado</t>
  </si>
  <si>
    <t>Ducha cromada simples</t>
  </si>
  <si>
    <t>Torneira longa sem rosca para uso geral, em latão fundido cromado</t>
  </si>
  <si>
    <t>Cuba em aço inoxidável - 500 x 400 x 300 mm (laboratórios)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</si>
  <si>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</si>
  <si>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</si>
  <si>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</si>
  <si>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</si>
  <si>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</si>
  <si>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</si>
  <si>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</si>
  <si>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</si>
  <si>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</si>
  <si>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</si>
  <si>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</si>
  <si>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</si>
  <si>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</si>
  <si>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14.1.15</t>
  </si>
  <si>
    <t>14.1.16</t>
  </si>
  <si>
    <t>14.1.17</t>
  </si>
  <si>
    <t>14.1.18</t>
  </si>
  <si>
    <t>14.1.19</t>
  </si>
  <si>
    <t>14.2</t>
  </si>
  <si>
    <t>ÁGUA FRIA</t>
  </si>
  <si>
    <t>Escavação manual em solo de 1ª e 2ª categoria em campo aberto (valas para instalação de condutores e caixas)</t>
  </si>
  <si>
    <t>Tubo de PVC rígido soldável marrom, DN= 25 mm, (3/4´), inclusive conexões</t>
  </si>
  <si>
    <t>Tubo de PVC rígido soldável marrom, DN= 32 mm, (1´), inclusive conexões</t>
  </si>
  <si>
    <t>Tubo de PVC rígido soldável marrom, DN= 40 mm, (1 1/4´), inclusive conexões</t>
  </si>
  <si>
    <t>Tubo de PVC rígido soldável marrom, DN= 50 mm, (1 1/2´), inclusive conexões</t>
  </si>
  <si>
    <t>Tubo de PVC rígido soldável marrom, DN= 60 mm, (2´), inclusive conexões</t>
  </si>
  <si>
    <t>Tubo de PVC rígido soldável marrom, DN= 75 mm, (2 1/2´), inclusive conexões</t>
  </si>
  <si>
    <t>Reservatório de fibra de vidro - capacidade de 10.000 litros</t>
  </si>
  <si>
    <t>Conjunto motor-bomba (centrífuga) 1,5 cv multiestágio, Hman= 20 a 35 mca, Q= 7,1 a 4,5 m³/h</t>
  </si>
  <si>
    <t>Registro de gaveta em latão fundido cromado com canopla, DN= 3/4´ - linha especial</t>
  </si>
  <si>
    <t>Registro de pressão em latão fundido cromado com canopla, DN= 3/4´ - linha especial</t>
  </si>
  <si>
    <t>Registro de gaveta em latão fundido sem acabamento, DN= 1 1/4´</t>
  </si>
  <si>
    <t>Registro de gaveta em latão fundido sem acabamento, DN= 1 1/2´</t>
  </si>
  <si>
    <t>Registro de gaveta em latão fundido sem acabamento, DN= 2 1/2´</t>
  </si>
  <si>
    <t>Torneira de bóia, DN= 3/4´</t>
  </si>
  <si>
    <t>Engate flexível de PVC DN= 1/2´</t>
  </si>
  <si>
    <t>Reservatório Metálico 60 M3 - instalado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</si>
  <si>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</si>
  <si>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</si>
  <si>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</si>
  <si>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</si>
  <si>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</si>
  <si>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</si>
  <si>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</si>
  <si>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</si>
  <si>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</si>
  <si>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</si>
  <si>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</si>
  <si>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</si>
  <si>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</si>
  <si>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14.2.14</t>
  </si>
  <si>
    <t>14.2.15</t>
  </si>
  <si>
    <t>14.2.16</t>
  </si>
  <si>
    <t>14.2.17</t>
  </si>
  <si>
    <t>14.2.18</t>
  </si>
  <si>
    <t>14.3</t>
  </si>
  <si>
    <t>ESGOTO</t>
  </si>
  <si>
    <t>Caixa sifonada de PVC rígido de 100 x 150 x 50 mm, com grelha</t>
  </si>
  <si>
    <t>Caixa sifonada de PVC rígido de 150 x 150 x 50 mm, com grelha</t>
  </si>
  <si>
    <t>Sifão plástico sanfonado universal de 1´</t>
  </si>
  <si>
    <t>Válvula de PVC para lavatório</t>
  </si>
  <si>
    <t>Válvula americana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</si>
  <si>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</si>
  <si>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</si>
  <si>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</si>
  <si>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</si>
  <si>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Tubo de PVC rígido PxB com virola e anel de borracha, linha esgoto série reforçada ´R´. DN= 150 mm, inclusive conexões</t>
  </si>
  <si>
    <t>caixa de inspeção sifonada 60 x 60 cm (28 unidades)</t>
  </si>
  <si>
    <t>m2</t>
  </si>
  <si>
    <t xml:space="preserve"> tampa de concreto para caixa de alvenaria</t>
  </si>
  <si>
    <t>14.3.1</t>
  </si>
  <si>
    <t>14.3.2</t>
  </si>
  <si>
    <t>14.3.3</t>
  </si>
  <si>
    <t>14.3.4</t>
  </si>
  <si>
    <t>14.3.5</t>
  </si>
  <si>
    <t>14.3.6</t>
  </si>
  <si>
    <t>14.3.7</t>
  </si>
  <si>
    <t>14.3.8</t>
  </si>
  <si>
    <t>14.3.9</t>
  </si>
  <si>
    <t>14.3.10</t>
  </si>
  <si>
    <t>14.3.11</t>
  </si>
  <si>
    <t>14.3.12</t>
  </si>
  <si>
    <t>14.4</t>
  </si>
  <si>
    <t>COLETA E AFASTAMENTO DE ÁGUAS PLUVIAIS</t>
  </si>
  <si>
    <t>14.4.1</t>
  </si>
  <si>
    <t>Grelha hemisférica em ferro fundido de 4´</t>
  </si>
  <si>
    <t>Grelha hemisférica em ferro fundido de 6´</t>
  </si>
  <si>
    <t>Tubo PVC rígido, junta elástica, série reforçada, DN= 200 mm, inclusive conexões</t>
  </si>
  <si>
    <t>Tubo PVC rígido, junta elástica,série reforçada, DN= 250 mm, inclusive conexões</t>
  </si>
  <si>
    <t>Tubo PVC rígido, junta elástica, série reforçada, DN= 300 mm, inclusive conexões</t>
  </si>
  <si>
    <t>Tubo PVC rígido, junta elástica, série reforçada, DN= 400 mm, inclusive conexões</t>
  </si>
  <si>
    <t>caixa de passagem 40 x 40 cm (9 unidades)</t>
  </si>
  <si>
    <t>caixa de passagem 60 x 60 cm (21 unidades)</t>
  </si>
  <si>
    <t>14.4.2</t>
  </si>
  <si>
    <t>14.4.3</t>
  </si>
  <si>
    <t>14.4.4</t>
  </si>
  <si>
    <t>14.4.5</t>
  </si>
  <si>
    <t>14.4.6</t>
  </si>
  <si>
    <t>14.4.7</t>
  </si>
  <si>
    <t>14.4.8</t>
  </si>
  <si>
    <t>14.4.9</t>
  </si>
  <si>
    <t>14.4.10</t>
  </si>
  <si>
    <t>14.4.11</t>
  </si>
  <si>
    <t>Detecção, combate e prevenção a incêndio</t>
  </si>
  <si>
    <t>14.5</t>
  </si>
  <si>
    <t>Abrigo de hidrante de 2 1/2´ completo - inclusive mangueira de 30 m (2 x 15 m)</t>
  </si>
  <si>
    <t>Extintor manual de pó químico seco BC - capacidade de 4 kg</t>
  </si>
  <si>
    <t>Registro de gaveta em latão fundido sem acabamento, DN= 1´</t>
  </si>
  <si>
    <t>Registro de gaveta em latão fundido sem acabamento, DN= 3´</t>
  </si>
  <si>
    <t>Válvula de retenção horizontal em bronze, DN= 1´</t>
  </si>
  <si>
    <t>Válvula de retenção horizontal em bronze, DN= 3´</t>
  </si>
  <si>
    <t>Tubo de ferro galvanizado DN= 1´, inclusive conexões</t>
  </si>
  <si>
    <t>Tubo de ferro galvanizado DN= 1 1/4´, inclusive conexões</t>
  </si>
  <si>
    <t>Tubo de ferro galvanizado DN= 2 1/2´, inclusive conexões</t>
  </si>
  <si>
    <t>Tubo de ferro galvanizado DN= 3´, inclusive conexões</t>
  </si>
  <si>
    <t>14.5.1</t>
  </si>
  <si>
    <t>14.5.2</t>
  </si>
  <si>
    <t>14.5.3</t>
  </si>
  <si>
    <t>14.5.4</t>
  </si>
  <si>
    <t>14.5.5</t>
  </si>
  <si>
    <t>14.5.6</t>
  </si>
  <si>
    <t>14.5.7</t>
  </si>
  <si>
    <t>14.5.8</t>
  </si>
  <si>
    <t>14.5.9</t>
  </si>
  <si>
    <t>14.5.10</t>
  </si>
  <si>
    <t>14.5.11</t>
  </si>
  <si>
    <t>14.6</t>
  </si>
  <si>
    <t>Drenos de Ar Condicionado</t>
  </si>
  <si>
    <t>14.6.1</t>
  </si>
  <si>
    <t>14.6.2</t>
  </si>
  <si>
    <t>INSTALAÇÕES ELÉTRICAS, LÓGICA E TELEFONIA</t>
  </si>
  <si>
    <t>15.1</t>
  </si>
  <si>
    <t>SISTEMA DE PROTEÇÃO CONTRA DESCARGAS ATMOSFÉRICAS</t>
  </si>
  <si>
    <t>TERMINAL AÉREO EM BARRA CHATA DE ALUMINIO</t>
  </si>
  <si>
    <t>PÇ</t>
  </si>
  <si>
    <t>HASTE TIPO COPPERWEL COM ALTA CAMADA Ø5/8" X 3,00M</t>
  </si>
  <si>
    <t>CABO DE COBRE NU #50MM²</t>
  </si>
  <si>
    <t>SOLDA EXOTERMICA CABO X CABO</t>
  </si>
  <si>
    <t>SOLDA EXOTERMICA HASTE X CABO</t>
  </si>
  <si>
    <t>BARRA CHATA DE ALUMINIO DE 3/4"X1/4"X3,0M</t>
  </si>
  <si>
    <r>
      <t xml:space="preserve">ELETRODUTO DE PVC RIGIDO </t>
    </r>
    <r>
      <rPr>
        <sz val="10"/>
        <rFont val="Calibri"/>
        <family val="2"/>
      </rPr>
      <t>Ǿ</t>
    </r>
    <r>
      <rPr>
        <sz val="7.5"/>
        <rFont val="Arial"/>
        <family val="2"/>
      </rPr>
      <t>1" E ACESSORIOS</t>
    </r>
  </si>
  <si>
    <t>CAIXA DE MEDIÇAO COM CONECTOR BIMETÁLICO #50MM2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</si>
  <si>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</si>
  <si>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</si>
  <si>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</si>
  <si>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</si>
  <si>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</si>
  <si>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</si>
  <si>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</si>
  <si>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</si>
  <si>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INFRAESTRUTURA DE ENTRADA DE ENERGIA E COMUNICAÇÃO</t>
  </si>
  <si>
    <t>15.2</t>
  </si>
  <si>
    <t>POSTE TUBULAR DE CONCRETO 11M-400daN MAIS ESTAI DE SUBSOLO</t>
  </si>
  <si>
    <t>CRUZETA DE MADEIRA MAIS ACESSÓRIOS DE FIXAÇÃO, PADRÃO ELEKTROS</t>
  </si>
  <si>
    <t>ISOLADOR DE PINO DE PORCELANA, 15KV MAIS PINO</t>
  </si>
  <si>
    <t>PARARAIO TIPO VALVULA DE 9 A 12KV, CORPO POLIMÉRICO</t>
  </si>
  <si>
    <t>CHAVE FUSIVEL BASE C PARA 15KV/100A, COM CAPACIDADE DE RUPTURA ATÉ 10KA, COM FUSIVEL</t>
  </si>
  <si>
    <t>TERMINAÇÃO SINGELA ISOLAÇÃO 15KV USO EXTERNO</t>
  </si>
  <si>
    <t>CABO DE COBRE #35MM2, ISOLAÇÃO 8,7/15kV</t>
  </si>
  <si>
    <t>CABO DE COBRE #35MM2, ISOLAÇÃO 1kV</t>
  </si>
  <si>
    <t>ELETRODUTO DE FERRO ZINCADO A FOGO Ø4" X 3,0M e ACESSORIOS</t>
  </si>
  <si>
    <t>DUTO DE PEAD Ø4"</t>
  </si>
  <si>
    <t>CAIXA DE PASSAGEM NO SOLO (0,80X0,80X1,20M) COM TAMPA DE CONCRETO</t>
  </si>
  <si>
    <t>TAMPA DE CONCRETO para caixas de passagem</t>
  </si>
  <si>
    <t>CAIXA DE PASSAGEM NO SOLO - 107x52x50cm - MODELO R2 COM TAMPA DE FERRO FUNDIDO R2 - COM REQUADRO EM CANTONEIRA</t>
  </si>
  <si>
    <t>TAMPA DE INSPECAO EM FERRO FUNDIDO R2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</si>
  <si>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</si>
  <si>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</si>
  <si>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</si>
  <si>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</si>
  <si>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</si>
  <si>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</si>
  <si>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</si>
  <si>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</si>
  <si>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</si>
  <si>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</si>
  <si>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</si>
  <si>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</si>
  <si>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</si>
  <si>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</si>
  <si>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15.3</t>
  </si>
  <si>
    <t>POSTO DE TRANSFORMAÇÃO</t>
  </si>
  <si>
    <t>PARARAIO TIPO VALVULA 12KVef-10kA</t>
  </si>
  <si>
    <t>ISOLADOR DE PORCELANA, TIPO PEDESTAL 15kV,USO INTERNO</t>
  </si>
  <si>
    <t>CHAVE SECCIONADORA TRIPOLAR SECA, 630A-15kV, SEM PORTA FUSIVEL</t>
  </si>
  <si>
    <t>CHAVE SECCIONADORA TRIPOLAR, 400A-15kV, COM PORTA FUSIVEL</t>
  </si>
  <si>
    <t>FUSIVEL LIMITADOR 40A-15kV</t>
  </si>
  <si>
    <t>TRANSFORMADOR A SECO DE 300kVA, PRIMÁRIO 13,8/13,2/12,6/12,0/11,4kV E SECUNDÁRIO 220/127V</t>
  </si>
  <si>
    <t>VERGALHÃO DE COBRE ELETROLITICO Ø3/8"</t>
  </si>
  <si>
    <t>BORNE CONCENTRICO TIPO TERMINAL RETO Ø3/8"</t>
  </si>
  <si>
    <t>PRENSA VERGALHÃO T Ø3/8"</t>
  </si>
  <si>
    <t>CONJUNTO DISJUNTOR DE MEDIA TENSÃO A VACUO COM RELE INCORPORADO</t>
  </si>
  <si>
    <t>LUMINARIA BLINDADA COM LAMPADA FLUORESCENTE COMPACTA DE 20W</t>
  </si>
  <si>
    <t>BLOCO AUTONOMO PARA ILUMINAÇÃO DE EMERGENCIA</t>
  </si>
  <si>
    <t>ESTRADO COM BORRACHA ISOLANTE</t>
  </si>
  <si>
    <t>TRANSFORMADOR DE POTENCIAL MONOFASICO DE 1000VA, CLASSE 15kV, A SECO COM FUSIVEIS</t>
  </si>
  <si>
    <t xml:space="preserve">ELETRODUTO DE FERRO ZINCADO A FOGO PESADO Ø3/4" </t>
  </si>
  <si>
    <t>CONDULETE DE ALUMINIO FUNDIDO Ø3/4"</t>
  </si>
  <si>
    <t>CABO DE COBRE #240MM2-1kV</t>
  </si>
  <si>
    <t>CABO DE COBRE #2,5MM2</t>
  </si>
  <si>
    <t>CABO DE COBRE NU #35MM²</t>
  </si>
  <si>
    <t>TERMINAL A COMPRESSÃO PARA CABO #240MM2</t>
  </si>
  <si>
    <t>TERMINAL A COMPRESSÃO PARA CABO #35MM2</t>
  </si>
  <si>
    <t>HASTE DE ATERRAMENTO DE Ø5/8"X3,00M</t>
  </si>
  <si>
    <t>SOLDA EXOTERMICA CABO X CABO, #50MM2</t>
  </si>
  <si>
    <t>SOLDA EXOTERMICA CABO X HASTE TOPO #50MM2 PARA HASTE Ø5/8"</t>
  </si>
  <si>
    <t>PLACA DE ADVERTENCIA</t>
  </si>
  <si>
    <t>LUVA ISOLANTE DE BORRACHA DE 10 A 20kV</t>
  </si>
  <si>
    <t>LUVA DE COURO PARA PROTEÇÃO DE LUVA ISOLANTE</t>
  </si>
  <si>
    <t>CAIXA PORTA LUVA EM MADEIRA COM TAMPA</t>
  </si>
  <si>
    <t>ABRIGO EM ALVENARIA COMPLETO PARA QUADRO GERAL DE DISTRIBUIÇÃO EM BAIXA TENSÃO</t>
  </si>
  <si>
    <t>CONSTRUÇÃO EM ALVENARIA COMPLETO DE POSTO DE TRANSFORMAÇÃO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</si>
  <si>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</si>
  <si>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</si>
  <si>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</si>
  <si>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</si>
  <si>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</si>
  <si>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</si>
  <si>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</si>
  <si>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</si>
  <si>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15.3.9</t>
  </si>
  <si>
    <t>15.3.10</t>
  </si>
  <si>
    <t>15.3.11</t>
  </si>
  <si>
    <t>15.3.12</t>
  </si>
  <si>
    <t>15.3.13</t>
  </si>
  <si>
    <t>15.3.14</t>
  </si>
  <si>
    <t>15.3.15</t>
  </si>
  <si>
    <t>15.3.16</t>
  </si>
  <si>
    <t>15.3.17</t>
  </si>
  <si>
    <t>15.3.18</t>
  </si>
  <si>
    <t>15.3.19</t>
  </si>
  <si>
    <t>15.3.20</t>
  </si>
  <si>
    <t>15.3.21</t>
  </si>
  <si>
    <t>15.3.22</t>
  </si>
  <si>
    <t>15.3.23</t>
  </si>
  <si>
    <t>15.3.24</t>
  </si>
  <si>
    <t>15.3.25</t>
  </si>
  <si>
    <t>15.3.26</t>
  </si>
  <si>
    <t>15.3.27</t>
  </si>
  <si>
    <t>15.3.28</t>
  </si>
  <si>
    <t>15.3.29</t>
  </si>
  <si>
    <t>15.3.30</t>
  </si>
  <si>
    <t>15.3.31</t>
  </si>
  <si>
    <t>15.3.32</t>
  </si>
  <si>
    <t>ALIMENTADORES E QUADROS ELÉTRICOS</t>
  </si>
  <si>
    <t>15.4</t>
  </si>
  <si>
    <t>DUTO DE PEAD Ø2"</t>
  </si>
  <si>
    <t>TAMPA DE CONCRETO PARA CAIXAS DE PASSAGEM</t>
  </si>
  <si>
    <t>QUADRO GERAL DE DISTRIBUIÇÃO QGBT, CONFORME PROJETO</t>
  </si>
  <si>
    <t>QUADRO GERAL DE DISTRIBUIÇÃO QGBTT, CONFORME PROJETO</t>
  </si>
  <si>
    <t>QUADRO GERAL DE DISTRIBUIÇÃO QGBTS, CONFORME PROJETO</t>
  </si>
  <si>
    <t>QUADRO DE DISTRIBUIÇÃO QF-01, CONFORME PROJETO</t>
  </si>
  <si>
    <t>QUADRO DE DISTRIBUIÇÃO QF-02, CONFORME PROJETO</t>
  </si>
  <si>
    <t>QUADRO DE DISTRIBUIÇÃO QF-03, CONFORME PROJETO</t>
  </si>
  <si>
    <t>QUADRO DE DISTRIBUIÇÃO QF-04, CONFORME PROJETO</t>
  </si>
  <si>
    <t>QUADRO DE DISTRIBUIÇÃO QFC-01, CONFORME PROJETO</t>
  </si>
  <si>
    <t>QUADRO DE DISTRIBUIÇÃO QFC-02, CONFORME PROJETO</t>
  </si>
  <si>
    <t>QUADRO DE DISTRIBUIÇÃO QFC-03, CONFORME PROJETO</t>
  </si>
  <si>
    <t>QUADRO DE DISTRIBUIÇÃO QFC-04, CONFORME PROJETO</t>
  </si>
  <si>
    <t>QUADRO DE DISTRIBUIÇÃO QFC-05, CONFORME PROJETO</t>
  </si>
  <si>
    <t>QUADRO DE DISTRIBUIÇÃO QFL-T01, CONFORME PROJETO</t>
  </si>
  <si>
    <t>QUADRO DE DISTRIBUIÇÃO QFL-T02, CONFORME PROJETO</t>
  </si>
  <si>
    <t>QUADRO DE DISTRIBUIÇÃO QFL-T03, CONFORME PROJETO</t>
  </si>
  <si>
    <t>QUADRO DE DISTRIBUIÇÃO QFL-T04, CONFORME PROJETO</t>
  </si>
  <si>
    <t>QUADRO DE DISTRIBUIÇÃO QFL-T05, CONFORME PROJETO</t>
  </si>
  <si>
    <t>QUADRO DE DISTRIBUIÇÃO QFL-TADM, CONFORME PROJETO</t>
  </si>
  <si>
    <t>QUADRO DE DISTRIBUIÇÃO QL-T01, CONFORME PROJETO</t>
  </si>
  <si>
    <t>QUADRO DE DISTRIBUIÇÃO QL-T02, CONFORME PROJETO</t>
  </si>
  <si>
    <t>QUADRO DE DISTRIBUIÇÃO QL-T03, CONFORME PROJETO</t>
  </si>
  <si>
    <t>QUADRO DE DISTRIBUIÇÃO QL-T04, CONFORME PROJETO</t>
  </si>
  <si>
    <t>QUADRO DE DISTRIBUIÇÃO QF-ELEVADOR, CONFORME PROJETO</t>
  </si>
  <si>
    <t>QUADRO DE DISTRIBUIÇÃO QF-BOMBAS. CONFORME PROJETO</t>
  </si>
  <si>
    <t>QUADRO DE DISTRIBUIÇÃO QF-BOMBA INCENDIO, CONFORME PROJETO</t>
  </si>
  <si>
    <t>QUADRO DE DISTRIBUIÇÃO QFL-S01, CONFORME PROJETO</t>
  </si>
  <si>
    <t>QUADRO DE DISTRIBUIÇÃO QFL-S02, CONFORME PROJETO</t>
  </si>
  <si>
    <t>QUADRO DE DISTRIBUIÇÃO QFL-S03, CONFORME PROJETO</t>
  </si>
  <si>
    <t>QUADRO DE DISTRIBUIÇÃO QFL-S04, CONFORME PROJETO</t>
  </si>
  <si>
    <t>QUADRO DE DISTRIBUIÇÃO QFL-S05, CONFORME PROJETO</t>
  </si>
  <si>
    <t>QUADRO DE DISTRIBUIÇÃO QFL-S06, CONFORME PROJETO</t>
  </si>
  <si>
    <t>QUADRO DE DISTRIBUIÇÃO QFL-S07, CONFORME PROJETO</t>
  </si>
  <si>
    <t>QUADRO DE DISTRIBUIÇÃO QFL-S08, CONFORME PROJETO</t>
  </si>
  <si>
    <t>QUADRO DE DISTRIBUIÇÃO QFL-S09, CONFORME PROJETO</t>
  </si>
  <si>
    <t>QUADRO DE DISTRIBUIÇÃO QFL-SADM, CONFORME PROJETO</t>
  </si>
  <si>
    <t>QUADRO DE DISTRIBUIÇÃO QAC-T01, CONFORME PROJETO</t>
  </si>
  <si>
    <t>QUADRO DE DISTRIBUIÇÃO QAC-T02, CONFORME PROJETO</t>
  </si>
  <si>
    <t>QUADRO DE DISTRIBUIÇÃO QAC-T03, CONFORME PROJETO</t>
  </si>
  <si>
    <t>QUADRO DE DISTRIBUIÇÃO QAC-S01, CONFORME PROJETO</t>
  </si>
  <si>
    <t>QUADRO DE DISTRIBUIÇÃO QAC-S02, CONFORME PROJETO</t>
  </si>
  <si>
    <t>QUADRO DE DISTRIBUIÇÃO QAC-S03, CONFORME PROJETO</t>
  </si>
  <si>
    <t>QUADRO DE DISTRIBUIÇÃO QAC-S04, CONFORME PROJETO</t>
  </si>
  <si>
    <t>ELETRODUTO DE FERRO ZINCADO A FOGO Ø2"</t>
  </si>
  <si>
    <t>CABO DE COBRE #185MM2-1kV</t>
  </si>
  <si>
    <t>CABO DE COBRE #150MM2-1kV</t>
  </si>
  <si>
    <t>CABO DE COBRE #120MM2-1kV</t>
  </si>
  <si>
    <t>CABO DE COBRE #95MM2-1kV</t>
  </si>
  <si>
    <t>CABO DE COBRE #70MM2-1kV</t>
  </si>
  <si>
    <t>CABO DE COBRE #50MM2-1kV</t>
  </si>
  <si>
    <t>CABO DE COBRE #35MM2-1kV</t>
  </si>
  <si>
    <t>CABO DE COBRE #25MM2-1kV</t>
  </si>
  <si>
    <t>CABO DE COBRE #16MM2-1kV</t>
  </si>
  <si>
    <t>CABO DE COBRE #10MM2-1kV</t>
  </si>
  <si>
    <t>15.4.1</t>
  </si>
  <si>
    <t>15.4.2</t>
  </si>
  <si>
    <t>15.4.3</t>
  </si>
  <si>
    <t>15.4.4</t>
  </si>
  <si>
    <t>15.4.5</t>
  </si>
  <si>
    <t>15.4.6</t>
  </si>
  <si>
    <t>15.4.7</t>
  </si>
  <si>
    <t>15.4.8</t>
  </si>
  <si>
    <t>15.4.9</t>
  </si>
  <si>
    <t>15.4.10</t>
  </si>
  <si>
    <t>15.4.11</t>
  </si>
  <si>
    <t>15.4.12</t>
  </si>
  <si>
    <t>15.4.13</t>
  </si>
  <si>
    <t>15.4.14</t>
  </si>
  <si>
    <t>15.4.15</t>
  </si>
  <si>
    <t>15.4.16</t>
  </si>
  <si>
    <t>15.4.17</t>
  </si>
  <si>
    <t>15.4.18</t>
  </si>
  <si>
    <t>15.4.19</t>
  </si>
  <si>
    <t>15.4.20</t>
  </si>
  <si>
    <t>15.4.21</t>
  </si>
  <si>
    <t>15.4.22</t>
  </si>
  <si>
    <t>15.4.23</t>
  </si>
  <si>
    <t>15.4.24</t>
  </si>
  <si>
    <t>15.4.25</t>
  </si>
  <si>
    <t>15.4.26</t>
  </si>
  <si>
    <t>15.4.27</t>
  </si>
  <si>
    <t>15.4.28</t>
  </si>
  <si>
    <t>15.4.29</t>
  </si>
  <si>
    <t>15.4.30</t>
  </si>
  <si>
    <t>15.4.31</t>
  </si>
  <si>
    <t>15.4.32</t>
  </si>
  <si>
    <t>15.4.33</t>
  </si>
  <si>
    <t>15.4.34</t>
  </si>
  <si>
    <t>15.4.35</t>
  </si>
  <si>
    <t>15.4.36</t>
  </si>
  <si>
    <t>15.4.37</t>
  </si>
  <si>
    <t>15.4.38</t>
  </si>
  <si>
    <t>15.4.39</t>
  </si>
  <si>
    <t>15.4.40</t>
  </si>
  <si>
    <t>15.4.41</t>
  </si>
  <si>
    <t>15.4.42</t>
  </si>
  <si>
    <t>15.4.43</t>
  </si>
  <si>
    <t>15.4.44</t>
  </si>
  <si>
    <t>15.4.45</t>
  </si>
  <si>
    <t>15.4.46</t>
  </si>
  <si>
    <t>15.4.47</t>
  </si>
  <si>
    <t>15.4.48</t>
  </si>
  <si>
    <t>15.4.49</t>
  </si>
  <si>
    <t>15.4.50</t>
  </si>
  <si>
    <t>15.4.51</t>
  </si>
  <si>
    <t>15.4.52</t>
  </si>
  <si>
    <t>15.4.53</t>
  </si>
  <si>
    <t>15.4.54</t>
  </si>
  <si>
    <t>15.4.55</t>
  </si>
  <si>
    <t>15.4.56</t>
  </si>
  <si>
    <t>15.4.57</t>
  </si>
  <si>
    <t>ILUMINAÇÃO INTERNA</t>
  </si>
  <si>
    <t>15.5</t>
  </si>
  <si>
    <t>LUMINARIA DE EMBUTIR COM 4 LAMPADAS FLUORESCENTE T5 DE 14W, EQUIPADA COM REATOR ELETRONICO ALTO FATOR DE POTENCIA</t>
  </si>
  <si>
    <t>LUMINARIA QUADRADA DE EMBUTIR COM 2 LÂMPADAS FC CONJUGADA DE 20W</t>
  </si>
  <si>
    <t>LUMINARIA BLINDADA FABRICADA EM LIGA DE ALUMINIO, EQUIPADA COM 1 LAMPADA FC CONJUGADA DE 15W</t>
  </si>
  <si>
    <t>LAMPADA FLUORESCENTE TUBULAR, BASE BIPINO BILATERAL DE 14W</t>
  </si>
  <si>
    <t>LAMPADA FLUORESCENTE COMPACTA ELETRONICA 3U, BASE E27 DE 20W</t>
  </si>
  <si>
    <t>REATOR PARA LAMPADA PARA DUAS LAMPADAS FLUORESCENTES DE 14W</t>
  </si>
  <si>
    <t>MÓDULO AUTONOMO DE ILUMINAÇÃO DE EMERGÊNCIA REF. ILSI CADR DA UNITRON OU EQUIVALENTE TÉCNICO</t>
  </si>
  <si>
    <t>CAIXA PARA TOMADAS: ENERGIA, RJ, SOBRESSALENTE, INTERRUPTOR OU ESPELHO, COM PINTURA ELETROSTATICA, PARA RODAPE TECNICO DUPLO</t>
  </si>
  <si>
    <t>INTERRUPTOR BIPOLAR SIMPLES</t>
  </si>
  <si>
    <t>INTERRUPTOR BIPOLAR PARALELO</t>
  </si>
  <si>
    <t>ELETRODUTO DE FERRO GALVANIZADO Ø3/4"</t>
  </si>
  <si>
    <t>BR</t>
  </si>
  <si>
    <t>CONDULETE DE ALUMINIO Ø3/4"</t>
  </si>
  <si>
    <t>CABO MULTIPLO DE COBRE FLEXIVEL 3X#1,5MM²</t>
  </si>
  <si>
    <t>CABO DE COBRE FLEXIVEL #2,5MM²</t>
  </si>
  <si>
    <t>BLOCO AUTONOMO PARA ILUMINAÇÃO DE EMERGENCIA ¨SAIDA¨</t>
  </si>
  <si>
    <t>15.5.1</t>
  </si>
  <si>
    <t>15.5.2</t>
  </si>
  <si>
    <t>15.5.3</t>
  </si>
  <si>
    <t>15.5.4</t>
  </si>
  <si>
    <t>15.5.5</t>
  </si>
  <si>
    <t>15.5.6</t>
  </si>
  <si>
    <t>15.5.7</t>
  </si>
  <si>
    <t>15.5.8</t>
  </si>
  <si>
    <t>15.5.9</t>
  </si>
  <si>
    <t>15.5.10</t>
  </si>
  <si>
    <t>15.5.11</t>
  </si>
  <si>
    <t>15.5.12</t>
  </si>
  <si>
    <t>15.5.13</t>
  </si>
  <si>
    <t>15.5.14</t>
  </si>
  <si>
    <t>15.5.15</t>
  </si>
  <si>
    <t>15.6</t>
  </si>
  <si>
    <t>TOMADAS DE ENERGIA E ALARME DE INCENDIO</t>
  </si>
  <si>
    <t>ELETROCALHA PERFURADA  DE 300X100MM COM TAMPA E ACESSORIOS</t>
  </si>
  <si>
    <t>RODAPE TECNICO DUPLO E TAMPA COM PINTURA ELETROSTATICA</t>
  </si>
  <si>
    <t>TOMADA DE ENERGIA QUADRADA COM RABICHO DE 10 A - 250 V, PARA INSTALAÇÃO EM PAINEL / RODAPÉ / CAIXA DE TOMADAS</t>
  </si>
  <si>
    <t>CENTRAL DE ALARME DE INCENDIO</t>
  </si>
  <si>
    <t>SIRENE PARA ALARME DE INCENDIO</t>
  </si>
  <si>
    <t>ACONADOR PARA ALARME DE INCENDIO</t>
  </si>
  <si>
    <t>15.6.1</t>
  </si>
  <si>
    <t>15.6.2</t>
  </si>
  <si>
    <t>15.6.3</t>
  </si>
  <si>
    <t>15.6.4</t>
  </si>
  <si>
    <t>15.6.5</t>
  </si>
  <si>
    <t>15.6.6</t>
  </si>
  <si>
    <t>15.6.7</t>
  </si>
  <si>
    <t>15.6.8</t>
  </si>
  <si>
    <t>15.6.9</t>
  </si>
  <si>
    <t>15.6.10</t>
  </si>
  <si>
    <t>TOMADAS DE COMUNICAÇÃO</t>
  </si>
  <si>
    <t>15.7</t>
  </si>
  <si>
    <t>ELETROCALHA LISA DE 200X100MM COM TAMPA E ACESSÓRIOS</t>
  </si>
  <si>
    <t>ELETRODUTO DE FERRO GALVANIZADO Ø1"</t>
  </si>
  <si>
    <t>ELETRODUTO DE FERRO GALVANIZADO Ø2"</t>
  </si>
  <si>
    <t>CONDULETE DE ALUMINIO Ø1"</t>
  </si>
  <si>
    <t>CAIXA DE PASSAGEM EM ALUMINIO FUNDIDO A PROVA DE TEMPO 300X300</t>
  </si>
  <si>
    <t>CAIXA PARA TOMADAS: ENERGIA, RJ, SOBRESSALENTE, INTERRUPTOR OU ESPELHO, COM PINTURA ELETROSTÁTICA, PARA RODAPÉ TÉCNICO DUPLO</t>
  </si>
  <si>
    <t>TOMADA RJ45 CAT6A</t>
  </si>
  <si>
    <t>CABO UTP CAT 6</t>
  </si>
  <si>
    <t>RACK FECHADO DE PISO PADRÃO METALICO, 19" X 44 U´s X 770mm</t>
  </si>
  <si>
    <t>QUADRO DE TELEFONE, SOBREPOR, 60X60X12</t>
  </si>
  <si>
    <t>RACK FECHADO DE 19" X 44 U´s X 570mm</t>
  </si>
  <si>
    <t>ORGANIZADOR DE CABOS</t>
  </si>
  <si>
    <t>PATCH PANEL DE 24 PORTAS CAT. 6</t>
  </si>
  <si>
    <t>15.7.1</t>
  </si>
  <si>
    <t>15.7.2</t>
  </si>
  <si>
    <t>15.7.3</t>
  </si>
  <si>
    <t>15.7.4</t>
  </si>
  <si>
    <t>15.7.5</t>
  </si>
  <si>
    <t>15.7.6</t>
  </si>
  <si>
    <t>15.7.7</t>
  </si>
  <si>
    <t>15.7.8</t>
  </si>
  <si>
    <t>15.7.9</t>
  </si>
  <si>
    <t>15.7.10</t>
  </si>
  <si>
    <t>15.7.11</t>
  </si>
  <si>
    <t>15.7.12</t>
  </si>
  <si>
    <t>15.7.13</t>
  </si>
  <si>
    <t>AR CONDICIONADO</t>
  </si>
  <si>
    <t>15.8</t>
  </si>
  <si>
    <t>ELETROCALHA LISA GALVANIZADA A FOGO DE 100X50MM COM TAMPA E ACESSÓRIOS</t>
  </si>
  <si>
    <t>ELETRODUTO DE FERRO ZINCADO A FOGO Ø3/4"</t>
  </si>
  <si>
    <t>CABO DE COBRE FLEXIVEL #4MM²</t>
  </si>
  <si>
    <t>CABO DE COBRE FLEXIVEL #6MM²</t>
  </si>
  <si>
    <t>CABO DE COBRE FLEXIVEL #10MM²</t>
  </si>
  <si>
    <t>CABO DE COBRE FLEXIVEL #25MM²</t>
  </si>
  <si>
    <t>TOMADA 2P+T</t>
  </si>
  <si>
    <t>LUMINARIA PARA 2 LAMPADAS FLUORESCENTES DE 32W</t>
  </si>
  <si>
    <t>LAMPADA FLUORESCENTE DE 32W</t>
  </si>
  <si>
    <t>REATOR PARA 2 LAMPADAS FLUORESCENTE DE 32W</t>
  </si>
  <si>
    <t>CAIXA DE MANOBRA CONTENDO UMA CHAVE SECCIONADORA SOBCARGA DE 125A</t>
  </si>
  <si>
    <t>15.8.1</t>
  </si>
  <si>
    <t>15.8.2</t>
  </si>
  <si>
    <t>15.8.3</t>
  </si>
  <si>
    <t>15.8.4</t>
  </si>
  <si>
    <t>15.8.5</t>
  </si>
  <si>
    <t>15.8.6</t>
  </si>
  <si>
    <t>15.8.7</t>
  </si>
  <si>
    <t>15.8.8</t>
  </si>
  <si>
    <t>15.8.9</t>
  </si>
  <si>
    <t>15.8.10</t>
  </si>
  <si>
    <t>15.8.11</t>
  </si>
  <si>
    <t>15.8.12</t>
  </si>
  <si>
    <t>15.8.13</t>
  </si>
  <si>
    <t>15.8.14</t>
  </si>
  <si>
    <t>15.8.15</t>
  </si>
  <si>
    <t>15.8.16</t>
  </si>
  <si>
    <t>Instalação Ar Comprimido e Vácuo Odontológico</t>
  </si>
  <si>
    <t>15.9</t>
  </si>
  <si>
    <t>15.9.1</t>
  </si>
  <si>
    <t>Equipamentos</t>
  </si>
  <si>
    <t>15.9.1.2</t>
  </si>
  <si>
    <t>15.9.1.1</t>
  </si>
  <si>
    <t xml:space="preserve">Compressor de Ar Odontológico, vazão de ar efetiva: 114m³/h, pressão máxima: 142 psig, isento de óleo, com reservatório para 520 litros (horizontal), secador por refrigeração e todos os itens necessários para o funcionamento do sistema </t>
  </si>
  <si>
    <t xml:space="preserve">Compressor de Ar Odontológico, vazão de ar efetiva: 168m³/h, pressão máxima: 142 psig, isento de óleo, com reservatório para 520 litros (horizontal), secador por refrigeração e todos os itens necessários para o funcionamento do sistema </t>
  </si>
  <si>
    <t xml:space="preserve">Compressor de Ar Odontológico, vazão de ar efetiva: 211m³/h, pressão máxima: 142 psig, isento de óleo, com reservatório para 520 litros (horizontal), secador por refrigeração e todos os itens necessários para o funcionamento do sistema </t>
  </si>
  <si>
    <t>Bomba Central de Vácuo Odontológico, vazão de ar: 240m³/h, vácuo: 720mmHg, com reservatório horizontal, filtros, painel elétrico e todos os itens necessarios para o funcionamento do sistema.</t>
  </si>
  <si>
    <t>Bomba Central de Vácuo Odontológico, vazão de ar: 360m³/h, vácuo: 720 psig, com reservatório horizontal, filtros, painel elétrico e todos os itens necessarios para o funcionamento do sistema.</t>
  </si>
  <si>
    <t>15.9.2</t>
  </si>
  <si>
    <t>15.9.2.1</t>
  </si>
  <si>
    <t>15.9.1.3</t>
  </si>
  <si>
    <t>15.9.1.4</t>
  </si>
  <si>
    <t>15.9.1.5</t>
  </si>
  <si>
    <t>INSTALAÇÕES DA TUBULAÇÃO</t>
  </si>
  <si>
    <t xml:space="preserve">Válvula de esfera diâmetro 1 1/4" </t>
  </si>
  <si>
    <t xml:space="preserve">Válvula de esfera diâmetro 1 1/2" </t>
  </si>
  <si>
    <t xml:space="preserve">Válvula de esfera diâmetro 2" </t>
  </si>
  <si>
    <t xml:space="preserve">Curva 90° diâmetro 1/2"                  </t>
  </si>
  <si>
    <t xml:space="preserve">Bucha redução diâmetro 3/4"x1/2"                  </t>
  </si>
  <si>
    <t xml:space="preserve">Bucha redução diâmetro 1"x3/4"                  </t>
  </si>
  <si>
    <t>Te redução central 3/4"x1/2"</t>
  </si>
  <si>
    <t>Te redução central 1"x1/2"</t>
  </si>
  <si>
    <t>Te redução central 1"x3/4"</t>
  </si>
  <si>
    <t xml:space="preserve">Bucha redução diâmetro 1 1/4"x1/2"                  </t>
  </si>
  <si>
    <t xml:space="preserve">Bucha redução diâmetro 1 1/4"x1"                  </t>
  </si>
  <si>
    <t>Te redução central 1 1/4"x1/2"</t>
  </si>
  <si>
    <t>Te redução central 1 1/4"x3/4"</t>
  </si>
  <si>
    <t xml:space="preserve">Bucha redução diâmetro 1 1/2"x1 1/4"                  </t>
  </si>
  <si>
    <t>Te redução central 1 1/2"x3/4"</t>
  </si>
  <si>
    <t xml:space="preserve">Curva 90° diâmetro 1 1/4"                  </t>
  </si>
  <si>
    <t xml:space="preserve">Curva 90° diâmetro 1 1/2"                  </t>
  </si>
  <si>
    <t xml:space="preserve">Tê 45º diâmetro 1 1/2"                  </t>
  </si>
  <si>
    <t xml:space="preserve">Tê 45º diâmetro 2"                  </t>
  </si>
  <si>
    <t xml:space="preserve">Curva 45° diâmetro 1 1/4"                  </t>
  </si>
  <si>
    <t xml:space="preserve">Curva 45° diâmetro 1 1/2"                  </t>
  </si>
  <si>
    <t>Te redução central 1 1/2"x1 1/4"</t>
  </si>
  <si>
    <t>Cotovelo diâmetro 1/2"</t>
  </si>
  <si>
    <t>Cotovelo diâmetro 3/4"</t>
  </si>
  <si>
    <t>Curva 90° diâmetro 1/2"</t>
  </si>
  <si>
    <t>Te diâmetro  1/2"</t>
  </si>
  <si>
    <t>Cotovelo diâmetro 1 1/2"</t>
  </si>
  <si>
    <t>Tubo de cobre classe A diâmetro 1/2"</t>
  </si>
  <si>
    <t>Tubo de cobre classe A diâmetro 3/4"</t>
  </si>
  <si>
    <t>Tubo de cobre classe A diâmetro 1"</t>
  </si>
  <si>
    <t>Tubo de cobre classe A diâmetro 1 1/4"</t>
  </si>
  <si>
    <t>Tubo de cobre classe A diâmetro 1 1/2"</t>
  </si>
  <si>
    <t>Tubo de cobre classe A diâmetro 2"</t>
  </si>
  <si>
    <t>Suporte para tubulação de ar comprimido</t>
  </si>
  <si>
    <t>15.9.2.2</t>
  </si>
  <si>
    <t>15.9.2.3</t>
  </si>
  <si>
    <t>15.9.2.4</t>
  </si>
  <si>
    <t>15.9.2.5</t>
  </si>
  <si>
    <t>15.9.2.6</t>
  </si>
  <si>
    <t>15.9.2.7</t>
  </si>
  <si>
    <t>15.9.2.8</t>
  </si>
  <si>
    <t>15.9.2.9</t>
  </si>
  <si>
    <t>15.9.2.10</t>
  </si>
  <si>
    <t>15.9.2.11</t>
  </si>
  <si>
    <t>15.9.2.12</t>
  </si>
  <si>
    <t>15.9.2.13</t>
  </si>
  <si>
    <t>15.9.2.14</t>
  </si>
  <si>
    <t>15.9.2.15</t>
  </si>
  <si>
    <t>15.9.2.16</t>
  </si>
  <si>
    <t>15.9.2.17</t>
  </si>
  <si>
    <t>15.9.2.18</t>
  </si>
  <si>
    <t>15.9.2.19</t>
  </si>
  <si>
    <t>15.9.2.20</t>
  </si>
  <si>
    <t>15.9.2.21</t>
  </si>
  <si>
    <t>15.9.2.22</t>
  </si>
  <si>
    <t>15.9.2.23</t>
  </si>
  <si>
    <t>15.9.2.24</t>
  </si>
  <si>
    <t>15.9.2.25</t>
  </si>
  <si>
    <t>15.9.2.26</t>
  </si>
  <si>
    <t>15.9.2.27</t>
  </si>
  <si>
    <t>15.9.2.28</t>
  </si>
  <si>
    <t>15.9.2.29</t>
  </si>
  <si>
    <t>15.9.2.30</t>
  </si>
  <si>
    <t>15.9.2.31</t>
  </si>
  <si>
    <t>15.9.2.32</t>
  </si>
  <si>
    <t>15.9.2.33</t>
  </si>
  <si>
    <t>15.9.2.34</t>
  </si>
  <si>
    <t>15.9.3</t>
  </si>
  <si>
    <t>INSTALAÇÕES GERAIS</t>
  </si>
  <si>
    <t>15.9.3.1</t>
  </si>
  <si>
    <t xml:space="preserve">Quadro elétrico com proteção para compressor de ar </t>
  </si>
  <si>
    <t xml:space="preserve">Quadro elétrico com proteção para central de vácuo </t>
  </si>
  <si>
    <t>amortecedor de vibração tipo mola com chapa para equipamentos</t>
  </si>
  <si>
    <t xml:space="preserve">projeto de montagem da instalacao   </t>
  </si>
  <si>
    <t>Partida, testes e balanceamento</t>
  </si>
  <si>
    <t>projeto as-buit</t>
  </si>
  <si>
    <t>transporte vertical (serviço de guincho)</t>
  </si>
  <si>
    <t>15.9.3.2</t>
  </si>
  <si>
    <t>15.9.3.3</t>
  </si>
  <si>
    <t>15.9.3.4</t>
  </si>
  <si>
    <t>15.9.3.5</t>
  </si>
  <si>
    <t>15.9.3.6</t>
  </si>
  <si>
    <t>15.9.3.7</t>
  </si>
  <si>
    <t>H</t>
  </si>
  <si>
    <t>REVESTIMENTOS</t>
  </si>
  <si>
    <t>INSTALAÇÕES DE AR CONDICIONADO</t>
  </si>
  <si>
    <t>16.1</t>
  </si>
  <si>
    <t>EQUIPAMENTOS</t>
  </si>
  <si>
    <t>Split 9.000 BTU/h mod. Hi-Wall - só frio -  ref.: Carrier, Hitachi ou equivalente</t>
  </si>
  <si>
    <t>Split 12.000 BTU/h mod. Hi-Wall - só frio -  ref.: Carrier, Hitachi ou equivalente</t>
  </si>
  <si>
    <t>Split 18.000 BTU/h mod. Hi-Wall - só frio -  ref.: Carrier, Hitachi ou equivalente</t>
  </si>
  <si>
    <t>Split 24.000 BTU/h mod. Hi-Wall - só frio -  ref.: Carrier, Hitachi ou equivalente</t>
  </si>
  <si>
    <t>Split 30.000 BTU/h mod. Hi-Wall - só frio -  ref.: Carrier, Hitachi ou equivalente</t>
  </si>
  <si>
    <t xml:space="preserve">Split 30.000 BTU/h mod. Piso-Teto - só frio - ref.: Carrier, Hitachi ou equivalente </t>
  </si>
  <si>
    <t xml:space="preserve">Split 48.000 BTU/h mod. Piso-Teto - só frio - ref.: Carrier, Hitachi ou equivalente </t>
  </si>
  <si>
    <t xml:space="preserve">Split 24.000 BTU/h mod. Cassete - só frio - ref.: Carrier, Hitachi ou equivalente </t>
  </si>
  <si>
    <t xml:space="preserve">Split 30.000 BTU/h mod. Cassete - só frio - ref.: Carrier, Hitachi ou equivalente </t>
  </si>
  <si>
    <t xml:space="preserve">Split 36.000 BTU/h mod. Cassete - só frio - ref.: Carrier, Hitachi ou equivalente </t>
  </si>
  <si>
    <t xml:space="preserve">Split 48.000 BTU/h mod. Cassete - só frio - ref.: Carrier, Hitachi ou equivalente </t>
  </si>
  <si>
    <t xml:space="preserve">Splitão Inverter 180.000 BTU/h mod. duto - ref.: Hitachi, Coldex Tosi ou equivalente </t>
  </si>
  <si>
    <t xml:space="preserve">Splitão Inverter 240.000 BTU/h mod. duto - ref.: Hitachi, Coldex Tosi ou equivalente </t>
  </si>
  <si>
    <t>Gabinete de Ventilação com filtro G3, vazão: 800 m³/h, 15 mmCA, com polia motora regulável, paredes com isolamento acústico e velocidade de descarga inferior a 7,5 m/s.</t>
  </si>
  <si>
    <t>Gabinete de Ventilação com filtro G3, vazão: 1800 m³/h, 15 mmCA, com polia motora regulável, paredes com isolamento acústico e velocidade de descarga inferior a 7,5 m/s.</t>
  </si>
  <si>
    <t>Ventilador axial mod. teto/parede, vazão 160m³/h, 5mmCA, com Timer + Grelha Auto-fechante, Ref.: modelo Mega16-Pro / Sictell, Cata, Multivac ou equivalente Técnico</t>
  </si>
  <si>
    <t>Ventilador axial mod. teto/parede, vazão 250m³/h, 7mmCA, com Timer + Grelha Auto-fechante, ref.: modelo Mega25-Pro / Sictell, Cata, Multivac ou equivalente Técnico</t>
  </si>
  <si>
    <t>Ventilador axial mod. teto/parede, vazão 340m³/h, 11mmCA, com Timer + Grelha Auto-fechante,ref.: modelo Mega34-Pro / Sictell, Cata, Multivac ou equivalente Técnico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</si>
  <si>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</si>
  <si>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</si>
  <si>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</si>
  <si>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</si>
  <si>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</si>
  <si>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</si>
  <si>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</si>
  <si>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</si>
  <si>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</si>
  <si>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16.1.10</t>
  </si>
  <si>
    <t>16.1.11</t>
  </si>
  <si>
    <t>16.1.12</t>
  </si>
  <si>
    <t>16.1.13</t>
  </si>
  <si>
    <t>16.1.14</t>
  </si>
  <si>
    <t>16.1.15</t>
  </si>
  <si>
    <t>16.1.16</t>
  </si>
  <si>
    <t>16.1.17</t>
  </si>
  <si>
    <t>16.1.18</t>
  </si>
  <si>
    <t xml:space="preserve">REDE DE DUTOS DE AR </t>
  </si>
  <si>
    <t>16.2</t>
  </si>
  <si>
    <t>Chapa de aço galvanizada #24</t>
  </si>
  <si>
    <t>Chapa de aço galvanizada #22</t>
  </si>
  <si>
    <t>Material para suporte de dutos</t>
  </si>
  <si>
    <t>lona para conexão - tiras de 15cm</t>
  </si>
  <si>
    <t>isolamento em manta de lã de vidro aluminizada de 25mm de espessura, incluindo fita adesiva  aluminizada, fita plástica em rolo e fecho plastico para fita e cantoneiras em chapa de aço  galvanizada #26 e massa de calafetar.</t>
  </si>
  <si>
    <t xml:space="preserve">grelha de insufl. dupla deflexão 300 x 300 mm com registro </t>
  </si>
  <si>
    <t xml:space="preserve">grelha de insufl. dupla deflexão 400 x 300 mm com registro </t>
  </si>
  <si>
    <t xml:space="preserve">grelha de insufl. dupla deflexão 500 x 150 mm com registro </t>
  </si>
  <si>
    <t xml:space="preserve">grelha de insufl. dupla deflexão 600 x 150 mm com registro </t>
  </si>
  <si>
    <t>grelha de porta tipo indevassável 250 x 250 mm com dupla moldura</t>
  </si>
  <si>
    <t>grelha de porta tipo indevassável 300 x 300 mm com dupla moldura</t>
  </si>
  <si>
    <t>grelha de porta tipo indevassável 400 x 400 mm com dupla moldura</t>
  </si>
  <si>
    <t>grelha de porta tipo indevassável 500 x 600 mm com dupla moldura</t>
  </si>
  <si>
    <t xml:space="preserve">grelha de retorno lâminas fixas 600 x 600 mm com registro </t>
  </si>
  <si>
    <t xml:space="preserve">grelha de retorno lâminas fixas de 1000 x 1000 mm com registro </t>
  </si>
  <si>
    <t xml:space="preserve">grelha de retorno lâminas fixas de 1300 x 1000 mm com registro </t>
  </si>
  <si>
    <t xml:space="preserve">grelha de retorno lâminas fixas de 1500 x 1000 mm com registro </t>
  </si>
  <si>
    <t>damper regulador de vazão 250 x 200 mm</t>
  </si>
  <si>
    <t>damper regulador de vazão 300 x 250 mm</t>
  </si>
  <si>
    <t>damper regulador de vazão 350 x 350 mm</t>
  </si>
  <si>
    <t>damper regulador de vazão 400 x 400 mm</t>
  </si>
  <si>
    <t>damper regulador de vazão 632 x 300 mm oval</t>
  </si>
  <si>
    <t>damper regulador de vazão 874 x 300 mm oval</t>
  </si>
  <si>
    <t>damper regulador de vazão 925 x 350 mm oval</t>
  </si>
  <si>
    <t>damper regulador de vazão 1000 x 350 mm oval</t>
  </si>
  <si>
    <t>damper regulador de vazão 1169 x 350 mm oval</t>
  </si>
  <si>
    <t xml:space="preserve">veneziana de tomada de ar exterior completa 300 x 800 mm </t>
  </si>
  <si>
    <t xml:space="preserve">veneziana de tomada de ar exterior completa 800 x 800 mm </t>
  </si>
  <si>
    <t xml:space="preserve">veneziana de tomada de ar exterior completa 800 x 1000 mm </t>
  </si>
  <si>
    <t>porta de inspeção para duto isolado dimensões 300 x 300 mm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</si>
  <si>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</si>
  <si>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</si>
  <si>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</si>
  <si>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</si>
  <si>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</si>
  <si>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</si>
  <si>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</si>
  <si>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</si>
  <si>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</si>
  <si>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</si>
  <si>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</si>
  <si>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</si>
  <si>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</si>
  <si>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</si>
  <si>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16.2.15</t>
  </si>
  <si>
    <t>16.2.16</t>
  </si>
  <si>
    <t>16.2.17</t>
  </si>
  <si>
    <t>16.2.18</t>
  </si>
  <si>
    <t>16.2.19</t>
  </si>
  <si>
    <t>16.2.20</t>
  </si>
  <si>
    <t>16.2.21</t>
  </si>
  <si>
    <t>16.2.22</t>
  </si>
  <si>
    <t>16.2.23</t>
  </si>
  <si>
    <t>16.2.24</t>
  </si>
  <si>
    <t>16.2.25</t>
  </si>
  <si>
    <t>16.2.26</t>
  </si>
  <si>
    <t>16.2.27</t>
  </si>
  <si>
    <t>16.2.28</t>
  </si>
  <si>
    <t>16.2.29</t>
  </si>
  <si>
    <t>16.2.30</t>
  </si>
  <si>
    <t>16.3</t>
  </si>
  <si>
    <t>amortecedor de vibração tipo coxim de borracha para gabinete de ventilação e condensadoras</t>
  </si>
  <si>
    <t>amortecedor de vibração tipo micro apoio de borracha para unidades condensadoras na laje</t>
  </si>
  <si>
    <t xml:space="preserve">amortecedor de vibração tipo mola com chapa para unidades evaporadoras e condensadoras </t>
  </si>
  <si>
    <t xml:space="preserve">suporte metálico tipo mão francesa para unidades condensadoras </t>
  </si>
  <si>
    <t>suporte metálico atirantado para gabinetes de ventilação sob a laje</t>
  </si>
  <si>
    <t>Instalações elétricas dos ventiladores</t>
  </si>
  <si>
    <t>16.3.1</t>
  </si>
  <si>
    <t>16.3.2</t>
  </si>
  <si>
    <t>16.3.3</t>
  </si>
  <si>
    <t>16.3.4</t>
  </si>
  <si>
    <t>16.3.5</t>
  </si>
  <si>
    <t>16.3.6</t>
  </si>
  <si>
    <t>16.3.7</t>
  </si>
  <si>
    <t>16.3.8</t>
  </si>
  <si>
    <t>16.3.9</t>
  </si>
  <si>
    <t>16.3.10</t>
  </si>
  <si>
    <t>Limpeza final da obra</t>
  </si>
  <si>
    <t>Plantio de grama esmeralda em placas (jardins e canteiros)</t>
  </si>
  <si>
    <t>Tampo/bancada em granito amêndoa, espessura de 2 cm</t>
  </si>
  <si>
    <t>Prateleira em granito com espessura de 2 cm (nas unidades de atendimento)</t>
  </si>
  <si>
    <t>17.1</t>
  </si>
  <si>
    <t>17.2</t>
  </si>
  <si>
    <t>17.3</t>
  </si>
  <si>
    <t>17.4</t>
  </si>
  <si>
    <t>17.5</t>
  </si>
  <si>
    <t>17.6</t>
  </si>
  <si>
    <t>Acessibilidade</t>
  </si>
  <si>
    <t>17.6.1</t>
  </si>
  <si>
    <t>Placa para sinalização tátil (início ou final) em braille para corrimão</t>
  </si>
  <si>
    <t>Anel de borracha para sinalização tátil para corrimão, diâmetro de 4,5 cm</t>
  </si>
  <si>
    <t>17.6.2</t>
  </si>
  <si>
    <t>17.7</t>
  </si>
  <si>
    <t>VALOR UNITÁRIO M.O. (R$)</t>
  </si>
  <si>
    <t>VALOR UNITÁRIO MATERIAL (R$)</t>
  </si>
  <si>
    <t>VALOR TOTAL UNITÁRIO (R$)</t>
  </si>
  <si>
    <t>TOTAL      M.O. (R$)</t>
  </si>
  <si>
    <t>TOTAL MATERIAL (R$)</t>
  </si>
  <si>
    <t>TOTAL ITEM (R$)</t>
  </si>
  <si>
    <t>TOTAL GERAL (R$):</t>
  </si>
  <si>
    <t>Limpeza mecanizada do terreno, inclusive troncos até 15 cm de diâmetro, com caminhão à disposição, dentro e fora da obra, com transporte no raio de até 10,0 km</t>
  </si>
  <si>
    <t>Transporte de solo de 1ª e 2ª categoria por caminhão para distâncias superiores ao 3,0 km até o destino final.</t>
  </si>
  <si>
    <t>Levantamento planialtimétrico cadastral com áreas até 50% de ocupação - área até 20.000 m² (atualização pré-obra e locação da obra)</t>
  </si>
  <si>
    <t xml:space="preserve">Projeto de montagem da instalacao   </t>
  </si>
  <si>
    <t>Projeto as-buit</t>
  </si>
  <si>
    <t>Transporte vertical (serviço de guincho)</t>
  </si>
  <si>
    <t xml:space="preserve">               OBRA:CONSTRUÇÃO DO EDIFÍCIO DE CLÍNICA E PRÉ-CLÍNICA</t>
  </si>
  <si>
    <t>CRONOGRAMA FISICO - FINANCEIRO FOLHA 01/03</t>
  </si>
  <si>
    <t>XXXXXXXXXXXXXXXX</t>
  </si>
  <si>
    <t>CRONOGRAMA FISICO - FINANCEIRO FOLHA 02/03</t>
  </si>
  <si>
    <t>16.1 e</t>
  </si>
  <si>
    <t>Elevador ELÉTRICO SEM CASA DE MÁQUINAS de uso restrito a pessoas com mobilidade reduzida com 02 paradas - uso interno em alvenaria - conforme DOCUMENTO TÉCNICO Nº.: 038/2015.</t>
  </si>
  <si>
    <t>PRAZO DA OBRA: 910 (Novecentos e dez) dias corridos</t>
  </si>
  <si>
    <t xml:space="preserve">               PRAZO DA OBRA: 910 (NOVECENTOS E DEZ) DIAS CORRIDOS</t>
  </si>
  <si>
    <t>CRONOGRAMA FISICO - FINANCEIRO FOLHA 03/03</t>
  </si>
  <si>
    <t>Calha em chapa galvanizada nº 24 - corte 1200 mm</t>
  </si>
  <si>
    <t>6.6</t>
  </si>
  <si>
    <t>6.7</t>
  </si>
  <si>
    <t>6.8</t>
  </si>
  <si>
    <t>6.9</t>
  </si>
  <si>
    <t>Rufo em chapa galvanizada nº 26 - corte 200 mm</t>
  </si>
  <si>
    <t>Rufo em chapa galvanizada nº 26 - corte 400 mm</t>
  </si>
  <si>
    <t>Rufo em chapa galvanizada nº 26 - corte 600 mm</t>
  </si>
  <si>
    <t>Calha em chapa galvanizada nº 24 - corte 800 mm</t>
  </si>
  <si>
    <t>6.10</t>
  </si>
  <si>
    <t>Fechamento Lateral em veneziana industrial de PVC - conforme Projeto Executivo (fachadas)</t>
  </si>
  <si>
    <t>DATA BASE: agosto/2016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</si>
</sst>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&quot;R$&quot;#,##0_);\(&quot;R$&quot;#,##0\)"/>
    <numFmt numFmtId="172" formatCode="&quot;R$&quot;#,##0_);[Red]\(&quot;R$&quot;#,##0\)"/>
    <numFmt numFmtId="173" formatCode="&quot;R$&quot;#,##0.00_);\(&quot;R$&quot;#,##0.00\)"/>
    <numFmt numFmtId="174" formatCode="&quot;R$&quot;#,##0.00_);[Red]\(&quot;R$&quot;#,##0.00\)"/>
    <numFmt numFmtId="175" formatCode="_(&quot;R$&quot;* #,##0_);_(&quot;R$&quot;* \(#,##0\);_(&quot;R$&quot;* &quot;-&quot;_);_(@_)"/>
    <numFmt numFmtId="176" formatCode="_(&quot;R$&quot;* #,##0.00_);_(&quot;R$&quot;* \(#,##0.00\);_(&quot;R$&quot;* &quot;-&quot;??_);_(@_)"/>
    <numFmt numFmtId="177" formatCode="&quot;Cr$&quot;\ #,##0_);\(&quot;Cr$&quot;\ #,##0\)"/>
    <numFmt numFmtId="178" formatCode="&quot;Cr$&quot;\ #,##0_);[Red]\(&quot;Cr$&quot;\ #,##0\)"/>
    <numFmt numFmtId="179" formatCode="&quot;Cr$&quot;\ #,##0.00_);\(&quot;Cr$&quot;\ #,##0.00\)"/>
    <numFmt numFmtId="180" formatCode="&quot;Cr$&quot;\ #,##0.00_);[Red]\(&quot;Cr$&quot;\ #,##0.00\)"/>
    <numFmt numFmtId="181" formatCode="_(&quot;Cr$&quot;\ * #,##0_);_(&quot;Cr$&quot;\ * \(#,##0\);_(&quot;Cr$&quot;\ * &quot;-&quot;_);_(@_)"/>
    <numFmt numFmtId="182" formatCode="_(&quot;Cr$&quot;\ * #,##0.00_);_(&quot;Cr$&quot;\ * \(#,##0.00\);_(&quot;Cr$&quot;\ * &quot;-&quot;??_);_(@_)"/>
    <numFmt numFmtId="183" formatCode="0.0000"/>
    <numFmt numFmtId="184" formatCode="0.0%"/>
    <numFmt numFmtId="185" formatCode="d/m/yy\ h:mm\ AM/PM"/>
    <numFmt numFmtId="186" formatCode="dd\-mmm\-yy"/>
    <numFmt numFmtId="187" formatCode="0.0"/>
    <numFmt numFmtId="188" formatCode="0.000"/>
    <numFmt numFmtId="189" formatCode="0.00000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_);[Red]\(#,##0.0\)"/>
    <numFmt numFmtId="196" formatCode="#,##0.000_);[Red]\(#,##0.000\)"/>
    <numFmt numFmtId="197" formatCode="#,##0.0000_);[Red]\(#,##0.0000\)"/>
    <numFmt numFmtId="198" formatCode="#,##0.00000_);[Red]\(#,##0.00000\)"/>
    <numFmt numFmtId="199" formatCode="#,##0.000"/>
    <numFmt numFmtId="200" formatCode="#,##0.0"/>
    <numFmt numFmtId="201" formatCode="#,##0.0000"/>
    <numFmt numFmtId="202" formatCode="&quot;R$ &quot;#,##0.00"/>
    <numFmt numFmtId="203" formatCode="0.000%"/>
    <numFmt numFmtId="204" formatCode="&quot;R$&quot;\ #,##0.00"/>
    <numFmt numFmtId="205" formatCode="&quot;Sim&quot;;&quot;Sim&quot;;&quot;Não&quot;"/>
    <numFmt numFmtId="206" formatCode="&quot;Verdadeiro&quot;;&quot;Verdadeiro&quot;;&quot;Falso&quot;"/>
    <numFmt numFmtId="207" formatCode="&quot;Ativar&quot;;&quot;Ativar&quot;;&quot;Desativar&quot;"/>
    <numFmt numFmtId="208" formatCode="[$€-2]\ #,##0.00_);[Red]\([$€-2]\ #,##0.00\)"/>
    <numFmt numFmtId="209" formatCode="&quot;Ativado&quot;;&quot;Ativado&quot;;&quot;Desativado&quot;"/>
  </numFmts>
  <fonts count="53">
    <font>
      <sz val="10"/>
      <name val="Swis721 Lt BT"/>
      <family val="0"/>
    </font>
    <font>
      <b/>
      <sz val="10"/>
      <name val="Arial"/>
      <family val="2"/>
    </font>
    <font>
      <u val="single"/>
      <sz val="10"/>
      <color indexed="12"/>
      <name val="Swis721 Lt BT"/>
      <family val="0"/>
    </font>
    <font>
      <u val="single"/>
      <sz val="10"/>
      <color indexed="36"/>
      <name val="Swis721 Lt BT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Swis721 Lt BT"/>
      <family val="0"/>
    </font>
    <font>
      <sz val="9"/>
      <name val="Swis721 Lt BT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7.5"/>
      <name val="Arial"/>
      <family val="2"/>
    </font>
    <font>
      <b/>
      <sz val="9"/>
      <name val="Swis721 Lt BT"/>
      <family val="0"/>
    </font>
    <font>
      <b/>
      <sz val="8"/>
      <name val="Swis721 Lt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justify"/>
    </xf>
    <xf numFmtId="0" fontId="8" fillId="0" borderId="12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justify"/>
    </xf>
    <xf numFmtId="0" fontId="8" fillId="0" borderId="16" xfId="0" applyFont="1" applyFill="1" applyBorder="1" applyAlignment="1">
      <alignment horizontal="justify"/>
    </xf>
    <xf numFmtId="0" fontId="8" fillId="0" borderId="13" xfId="0" applyFont="1" applyFill="1" applyBorder="1" applyAlignment="1">
      <alignment/>
    </xf>
    <xf numFmtId="10" fontId="5" fillId="0" borderId="15" xfId="0" applyNumberFormat="1" applyFont="1" applyFill="1" applyBorder="1" applyAlignment="1">
      <alignment/>
    </xf>
    <xf numFmtId="10" fontId="5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204" fontId="5" fillId="33" borderId="10" xfId="0" applyNumberFormat="1" applyFont="1" applyFill="1" applyBorder="1" applyAlignment="1">
      <alignment horizontal="center"/>
    </xf>
    <xf numFmtId="204" fontId="5" fillId="33" borderId="11" xfId="0" applyNumberFormat="1" applyFont="1" applyFill="1" applyBorder="1" applyAlignment="1">
      <alignment horizontal="center"/>
    </xf>
    <xf numFmtId="204" fontId="6" fillId="0" borderId="15" xfId="0" applyNumberFormat="1" applyFont="1" applyBorder="1" applyAlignment="1">
      <alignment/>
    </xf>
    <xf numFmtId="204" fontId="6" fillId="0" borderId="11" xfId="0" applyNumberFormat="1" applyFont="1" applyBorder="1" applyAlignment="1">
      <alignment horizontal="right"/>
    </xf>
    <xf numFmtId="204" fontId="5" fillId="0" borderId="10" xfId="0" applyNumberFormat="1" applyFont="1" applyBorder="1" applyAlignment="1">
      <alignment/>
    </xf>
    <xf numFmtId="204" fontId="5" fillId="0" borderId="15" xfId="70" applyNumberFormat="1" applyFont="1" applyBorder="1" applyAlignment="1">
      <alignment/>
    </xf>
    <xf numFmtId="204" fontId="0" fillId="0" borderId="0" xfId="0" applyNumberFormat="1" applyAlignment="1">
      <alignment/>
    </xf>
    <xf numFmtId="204" fontId="5" fillId="0" borderId="0" xfId="0" applyNumberFormat="1" applyFont="1" applyBorder="1" applyAlignment="1">
      <alignment horizontal="right"/>
    </xf>
    <xf numFmtId="9" fontId="4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left"/>
    </xf>
    <xf numFmtId="9" fontId="5" fillId="0" borderId="15" xfId="0" applyNumberFormat="1" applyFont="1" applyFill="1" applyBorder="1" applyAlignment="1">
      <alignment/>
    </xf>
    <xf numFmtId="9" fontId="5" fillId="0" borderId="11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204" fontId="5" fillId="0" borderId="10" xfId="0" applyNumberFormat="1" applyFont="1" applyFill="1" applyBorder="1" applyAlignment="1">
      <alignment/>
    </xf>
    <xf numFmtId="0" fontId="1" fillId="0" borderId="0" xfId="53" applyFont="1" applyFill="1" applyBorder="1" applyAlignment="1">
      <alignment horizontal="left"/>
      <protection/>
    </xf>
    <xf numFmtId="0" fontId="4" fillId="0" borderId="0" xfId="61" applyFont="1" applyBorder="1" applyAlignment="1" applyProtection="1">
      <alignment horizontal="center"/>
      <protection/>
    </xf>
    <xf numFmtId="0" fontId="4" fillId="0" borderId="0" xfId="52" applyFont="1" applyBorder="1" applyAlignment="1" applyProtection="1">
      <alignment horizontal="left"/>
      <protection/>
    </xf>
    <xf numFmtId="0" fontId="4" fillId="0" borderId="0" xfId="61" applyFont="1" applyBorder="1" applyAlignment="1" applyProtection="1">
      <alignment horizontal="left"/>
      <protection/>
    </xf>
    <xf numFmtId="0" fontId="4" fillId="0" borderId="0" xfId="61" applyFont="1" applyBorder="1" applyAlignment="1" applyProtection="1">
      <alignment horizontal="centerContinuous"/>
      <protection/>
    </xf>
    <xf numFmtId="0" fontId="1" fillId="0" borderId="0" xfId="53" applyFont="1" applyFill="1" applyBorder="1">
      <alignment/>
      <protection/>
    </xf>
    <xf numFmtId="4" fontId="4" fillId="0" borderId="0" xfId="53" applyNumberFormat="1" applyFont="1" applyFill="1" applyBorder="1" applyAlignment="1">
      <alignment horizontal="center"/>
      <protection/>
    </xf>
    <xf numFmtId="4" fontId="1" fillId="0" borderId="0" xfId="53" applyNumberFormat="1" applyFont="1" applyFill="1" applyBorder="1" applyAlignment="1">
      <alignment/>
      <protection/>
    </xf>
    <xf numFmtId="0" fontId="1" fillId="0" borderId="0" xfId="61" applyFont="1" applyFill="1" applyBorder="1" applyAlignment="1">
      <alignment horizontal="right"/>
    </xf>
    <xf numFmtId="10" fontId="1" fillId="0" borderId="0" xfId="56" applyNumberFormat="1" applyFont="1" applyFill="1" applyBorder="1" applyAlignment="1">
      <alignment horizontal="center"/>
    </xf>
    <xf numFmtId="0" fontId="0" fillId="0" borderId="0" xfId="53" applyBorder="1">
      <alignment/>
      <protection/>
    </xf>
    <xf numFmtId="9" fontId="1" fillId="0" borderId="0" xfId="56" applyFont="1" applyFill="1" applyBorder="1" applyAlignment="1">
      <alignment horizontal="center"/>
    </xf>
    <xf numFmtId="0" fontId="1" fillId="0" borderId="18" xfId="53" applyFont="1" applyFill="1" applyBorder="1" applyAlignment="1">
      <alignment/>
      <protection/>
    </xf>
    <xf numFmtId="4" fontId="4" fillId="0" borderId="18" xfId="53" applyNumberFormat="1" applyFont="1" applyFill="1" applyBorder="1" applyAlignment="1">
      <alignment horizontal="center"/>
      <protection/>
    </xf>
    <xf numFmtId="4" fontId="1" fillId="0" borderId="18" xfId="53" applyNumberFormat="1" applyFont="1" applyFill="1" applyBorder="1" applyAlignment="1">
      <alignment/>
      <protection/>
    </xf>
    <xf numFmtId="0" fontId="1" fillId="0" borderId="18" xfId="61" applyFont="1" applyFill="1" applyBorder="1" applyAlignment="1">
      <alignment horizontal="right"/>
    </xf>
    <xf numFmtId="9" fontId="1" fillId="0" borderId="18" xfId="56" applyFont="1" applyFill="1" applyBorder="1" applyAlignment="1">
      <alignment horizontal="center"/>
    </xf>
    <xf numFmtId="0" fontId="1" fillId="0" borderId="18" xfId="53" applyFont="1" applyFill="1" applyBorder="1">
      <alignment/>
      <protection/>
    </xf>
    <xf numFmtId="0" fontId="8" fillId="33" borderId="11" xfId="52" applyFont="1" applyFill="1" applyBorder="1" applyAlignment="1" applyProtection="1">
      <alignment horizontal="center" vertical="center"/>
      <protection/>
    </xf>
    <xf numFmtId="0" fontId="8" fillId="33" borderId="14" xfId="52" applyFont="1" applyFill="1" applyBorder="1" applyAlignment="1" applyProtection="1">
      <alignment horizontal="center" vertical="center"/>
      <protection/>
    </xf>
    <xf numFmtId="0" fontId="8" fillId="33" borderId="11" xfId="61" applyFont="1" applyFill="1" applyBorder="1" applyAlignment="1" applyProtection="1">
      <alignment horizontal="center" vertical="center" wrapText="1"/>
      <protection/>
    </xf>
    <xf numFmtId="0" fontId="8" fillId="33" borderId="19" xfId="52" applyFont="1" applyFill="1" applyBorder="1" applyAlignment="1" applyProtection="1">
      <alignment horizontal="center"/>
      <protection locked="0"/>
    </xf>
    <xf numFmtId="0" fontId="8" fillId="33" borderId="20" xfId="52" applyFont="1" applyFill="1" applyBorder="1" applyAlignment="1" applyProtection="1">
      <alignment horizontal="left"/>
      <protection locked="0"/>
    </xf>
    <xf numFmtId="0" fontId="8" fillId="33" borderId="21" xfId="52" applyFont="1" applyFill="1" applyBorder="1" applyAlignment="1" applyProtection="1">
      <alignment horizontal="center"/>
      <protection locked="0"/>
    </xf>
    <xf numFmtId="0" fontId="9" fillId="33" borderId="21" xfId="61" applyFont="1" applyFill="1" applyBorder="1" applyAlignment="1" applyProtection="1">
      <alignment horizontal="right"/>
      <protection locked="0"/>
    </xf>
    <xf numFmtId="0" fontId="9" fillId="33" borderId="22" xfId="61" applyFont="1" applyFill="1" applyBorder="1" applyAlignment="1" applyProtection="1">
      <alignment horizontal="right"/>
      <protection locked="0"/>
    </xf>
    <xf numFmtId="0" fontId="8" fillId="33" borderId="20" xfId="52" applyFont="1" applyFill="1" applyBorder="1" applyAlignment="1">
      <alignment horizontal="justify" wrapText="1"/>
      <protection/>
    </xf>
    <xf numFmtId="0" fontId="9" fillId="0" borderId="19" xfId="52" applyFont="1" applyBorder="1" applyAlignment="1" applyProtection="1">
      <alignment horizontal="center"/>
      <protection locked="0"/>
    </xf>
    <xf numFmtId="0" fontId="9" fillId="0" borderId="19" xfId="52" applyFont="1" applyBorder="1" applyAlignment="1">
      <alignment horizontal="justify" wrapText="1"/>
      <protection/>
    </xf>
    <xf numFmtId="0" fontId="9" fillId="0" borderId="20" xfId="52" applyFont="1" applyBorder="1" applyAlignment="1">
      <alignment horizontal="center" wrapText="1"/>
      <protection/>
    </xf>
    <xf numFmtId="0" fontId="8" fillId="0" borderId="14" xfId="52" applyFont="1" applyBorder="1" applyAlignment="1" applyProtection="1">
      <alignment horizontal="center"/>
      <protection locked="0"/>
    </xf>
    <xf numFmtId="0" fontId="8" fillId="0" borderId="18" xfId="52" applyFont="1" applyBorder="1" applyAlignment="1">
      <alignment horizontal="right" wrapText="1"/>
      <protection/>
    </xf>
    <xf numFmtId="0" fontId="8" fillId="0" borderId="18" xfId="52" applyFont="1" applyBorder="1" applyAlignment="1">
      <alignment horizontal="center" wrapText="1"/>
      <protection/>
    </xf>
    <xf numFmtId="0" fontId="9" fillId="0" borderId="12" xfId="53" applyFont="1" applyFill="1" applyBorder="1" applyAlignment="1" applyProtection="1">
      <alignment horizontal="center" vertical="center"/>
      <protection locked="0"/>
    </xf>
    <xf numFmtId="4" fontId="9" fillId="0" borderId="0" xfId="61" applyNumberFormat="1" applyFont="1" applyFill="1" applyBorder="1" applyAlignment="1">
      <alignment horizontal="right" vertical="center" wrapText="1"/>
    </xf>
    <xf numFmtId="0" fontId="9" fillId="0" borderId="0" xfId="61" applyFont="1" applyFill="1" applyBorder="1" applyAlignment="1">
      <alignment horizontal="right" vertical="center" wrapText="1"/>
    </xf>
    <xf numFmtId="0" fontId="8" fillId="0" borderId="0" xfId="53" applyFont="1" applyFill="1" applyBorder="1" applyAlignment="1" applyProtection="1">
      <alignment horizontal="right" wrapText="1"/>
      <protection locked="0"/>
    </xf>
    <xf numFmtId="0" fontId="8" fillId="0" borderId="0" xfId="53" applyFont="1" applyFill="1" applyBorder="1" applyAlignment="1">
      <alignment horizontal="center" vertical="center" wrapText="1"/>
      <protection/>
    </xf>
    <xf numFmtId="1" fontId="4" fillId="0" borderId="23" xfId="53" applyNumberFormat="1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left" vertical="center" wrapText="1"/>
      <protection/>
    </xf>
    <xf numFmtId="1" fontId="1" fillId="0" borderId="24" xfId="53" applyNumberFormat="1" applyFont="1" applyFill="1" applyBorder="1" applyAlignment="1">
      <alignment horizontal="center" vertical="center" wrapText="1"/>
      <protection/>
    </xf>
    <xf numFmtId="4" fontId="4" fillId="0" borderId="24" xfId="53" applyNumberFormat="1" applyFont="1" applyFill="1" applyBorder="1" applyAlignment="1">
      <alignment horizontal="right" vertical="center" wrapText="1"/>
      <protection/>
    </xf>
    <xf numFmtId="0" fontId="4" fillId="0" borderId="24" xfId="61" applyFont="1" applyFill="1" applyBorder="1" applyAlignment="1">
      <alignment horizontal="right" vertical="center" wrapText="1"/>
    </xf>
    <xf numFmtId="0" fontId="4" fillId="0" borderId="24" xfId="61" applyFont="1" applyFill="1" applyBorder="1" applyAlignment="1">
      <alignment vertical="center" wrapText="1"/>
    </xf>
    <xf numFmtId="1" fontId="1" fillId="0" borderId="12" xfId="53" applyNumberFormat="1" applyFont="1" applyFill="1" applyBorder="1" applyAlignment="1">
      <alignment horizontal="center" vertical="center" wrapText="1"/>
      <protection/>
    </xf>
    <xf numFmtId="1" fontId="14" fillId="0" borderId="0" xfId="53" applyNumberFormat="1" applyFont="1" applyFill="1" applyBorder="1" applyAlignment="1">
      <alignment horizontal="left" vertical="center" wrapText="1"/>
      <protection/>
    </xf>
    <xf numFmtId="1" fontId="1" fillId="0" borderId="0" xfId="53" applyNumberFormat="1" applyFont="1" applyFill="1" applyBorder="1" applyAlignment="1">
      <alignment horizontal="center" vertical="center" wrapText="1"/>
      <protection/>
    </xf>
    <xf numFmtId="4" fontId="4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61" applyFont="1" applyFill="1" applyBorder="1" applyAlignment="1">
      <alignment horizontal="right" vertical="center" wrapText="1"/>
    </xf>
    <xf numFmtId="1" fontId="0" fillId="0" borderId="14" xfId="53" applyNumberFormat="1" applyFont="1" applyFill="1" applyBorder="1" applyAlignment="1">
      <alignment horizontal="center"/>
      <protection/>
    </xf>
    <xf numFmtId="1" fontId="0" fillId="0" borderId="18" xfId="53" applyNumberFormat="1" applyFont="1" applyFill="1" applyBorder="1">
      <alignment/>
      <protection/>
    </xf>
    <xf numFmtId="1" fontId="0" fillId="0" borderId="18" xfId="53" applyNumberFormat="1" applyFont="1" applyFill="1" applyBorder="1" applyAlignment="1">
      <alignment horizontal="center"/>
      <protection/>
    </xf>
    <xf numFmtId="4" fontId="0" fillId="0" borderId="18" xfId="53" applyNumberFormat="1" applyFont="1" applyFill="1" applyBorder="1">
      <alignment/>
      <protection/>
    </xf>
    <xf numFmtId="0" fontId="0" fillId="0" borderId="18" xfId="61" applyFont="1" applyFill="1" applyBorder="1" applyAlignment="1">
      <alignment/>
    </xf>
    <xf numFmtId="0" fontId="9" fillId="33" borderId="20" xfId="53" applyFont="1" applyFill="1" applyBorder="1" applyAlignment="1" applyProtection="1">
      <alignment horizontal="center" vertical="center"/>
      <protection locked="0"/>
    </xf>
    <xf numFmtId="0" fontId="8" fillId="33" borderId="21" xfId="53" applyFont="1" applyFill="1" applyBorder="1" applyAlignment="1" applyProtection="1">
      <alignment horizontal="right" wrapText="1"/>
      <protection locked="0"/>
    </xf>
    <xf numFmtId="4" fontId="9" fillId="33" borderId="21" xfId="61" applyNumberFormat="1" applyFont="1" applyFill="1" applyBorder="1" applyAlignment="1">
      <alignment horizontal="right" vertical="center" wrapText="1"/>
    </xf>
    <xf numFmtId="0" fontId="9" fillId="33" borderId="21" xfId="61" applyFont="1" applyFill="1" applyBorder="1" applyAlignment="1">
      <alignment horizontal="right" vertical="center" wrapText="1"/>
    </xf>
    <xf numFmtId="0" fontId="1" fillId="0" borderId="0" xfId="61" applyFont="1" applyBorder="1" applyAlignment="1" applyProtection="1">
      <alignment horizontal="right"/>
      <protection locked="0"/>
    </xf>
    <xf numFmtId="4" fontId="6" fillId="0" borderId="17" xfId="0" applyNumberFormat="1" applyFont="1" applyFill="1" applyBorder="1" applyAlignment="1">
      <alignment/>
    </xf>
    <xf numFmtId="10" fontId="6" fillId="0" borderId="16" xfId="0" applyNumberFormat="1" applyFont="1" applyFill="1" applyBorder="1" applyAlignment="1">
      <alignment horizontal="right"/>
    </xf>
    <xf numFmtId="166" fontId="5" fillId="0" borderId="15" xfId="47" applyNumberFormat="1" applyFont="1" applyFill="1" applyBorder="1" applyAlignment="1">
      <alignment/>
    </xf>
    <xf numFmtId="4" fontId="0" fillId="0" borderId="0" xfId="0" applyNumberFormat="1" applyBorder="1" applyAlignment="1">
      <alignment horizontal="left"/>
    </xf>
    <xf numFmtId="0" fontId="8" fillId="33" borderId="19" xfId="61" applyFont="1" applyFill="1" applyBorder="1" applyAlignment="1" applyProtection="1">
      <alignment horizontal="center" vertical="center" wrapText="1"/>
      <protection/>
    </xf>
    <xf numFmtId="0" fontId="4" fillId="0" borderId="23" xfId="52" applyFont="1" applyBorder="1" applyAlignment="1" applyProtection="1">
      <alignment horizontal="center"/>
      <protection/>
    </xf>
    <xf numFmtId="0" fontId="12" fillId="0" borderId="24" xfId="52" applyFont="1" applyBorder="1" applyAlignment="1" applyProtection="1">
      <alignment horizontal="center"/>
      <protection/>
    </xf>
    <xf numFmtId="0" fontId="12" fillId="0" borderId="17" xfId="52" applyFont="1" applyBorder="1" applyAlignment="1" applyProtection="1">
      <alignment horizontal="center"/>
      <protection/>
    </xf>
    <xf numFmtId="0" fontId="4" fillId="0" borderId="12" xfId="52" applyFont="1" applyBorder="1" applyAlignment="1" applyProtection="1">
      <alignment horizontal="center"/>
      <protection/>
    </xf>
    <xf numFmtId="0" fontId="4" fillId="0" borderId="16" xfId="61" applyFont="1" applyBorder="1" applyAlignment="1" applyProtection="1">
      <alignment horizontal="center"/>
      <protection/>
    </xf>
    <xf numFmtId="0" fontId="4" fillId="0" borderId="16" xfId="61" applyFont="1" applyBorder="1" applyAlignment="1" applyProtection="1">
      <alignment horizontal="centerContinuous"/>
      <protection/>
    </xf>
    <xf numFmtId="0" fontId="13" fillId="0" borderId="12" xfId="52" applyFont="1" applyBorder="1" applyAlignment="1" applyProtection="1">
      <alignment horizontal="center"/>
      <protection/>
    </xf>
    <xf numFmtId="0" fontId="13" fillId="0" borderId="12" xfId="52" applyFont="1" applyBorder="1" applyAlignment="1" applyProtection="1">
      <alignment horizontal="center" wrapText="1"/>
      <protection/>
    </xf>
    <xf numFmtId="0" fontId="0" fillId="0" borderId="14" xfId="53" applyFont="1" applyFill="1" applyBorder="1" applyAlignment="1">
      <alignment horizontal="center"/>
      <protection/>
    </xf>
    <xf numFmtId="0" fontId="0" fillId="0" borderId="13" xfId="53" applyFont="1" applyFill="1" applyBorder="1">
      <alignment/>
      <protection/>
    </xf>
    <xf numFmtId="0" fontId="8" fillId="33" borderId="22" xfId="61" applyFont="1" applyFill="1" applyBorder="1" applyAlignment="1">
      <alignment/>
    </xf>
    <xf numFmtId="0" fontId="8" fillId="0" borderId="16" xfId="61" applyFont="1" applyFill="1" applyBorder="1" applyAlignment="1">
      <alignment/>
    </xf>
    <xf numFmtId="0" fontId="4" fillId="0" borderId="17" xfId="61" applyFont="1" applyFill="1" applyBorder="1" applyAlignment="1">
      <alignment vertical="center" wrapText="1"/>
    </xf>
    <xf numFmtId="0" fontId="1" fillId="0" borderId="16" xfId="61" applyFont="1" applyFill="1" applyBorder="1" applyAlignment="1">
      <alignment/>
    </xf>
    <xf numFmtId="0" fontId="0" fillId="0" borderId="13" xfId="61" applyFont="1" applyFill="1" applyBorder="1" applyAlignment="1">
      <alignment/>
    </xf>
    <xf numFmtId="0" fontId="8" fillId="34" borderId="10" xfId="52" applyFont="1" applyFill="1" applyBorder="1" applyAlignment="1">
      <alignment horizontal="justify" wrapText="1"/>
      <protection/>
    </xf>
    <xf numFmtId="4" fontId="6" fillId="0" borderId="17" xfId="0" applyNumberFormat="1" applyFont="1" applyFill="1" applyBorder="1" applyAlignment="1">
      <alignment horizontal="right"/>
    </xf>
    <xf numFmtId="10" fontId="6" fillId="0" borderId="16" xfId="0" applyNumberFormat="1" applyFont="1" applyFill="1" applyBorder="1" applyAlignment="1">
      <alignment/>
    </xf>
    <xf numFmtId="10" fontId="6" fillId="0" borderId="13" xfId="0" applyNumberFormat="1" applyFont="1" applyFill="1" applyBorder="1" applyAlignment="1">
      <alignment/>
    </xf>
    <xf numFmtId="10" fontId="6" fillId="0" borderId="17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 horizontal="left"/>
    </xf>
    <xf numFmtId="1" fontId="1" fillId="0" borderId="23" xfId="0" applyNumberFormat="1" applyFont="1" applyFill="1" applyBorder="1" applyAlignment="1">
      <alignment horizontal="left" indent="1"/>
    </xf>
    <xf numFmtId="1" fontId="0" fillId="0" borderId="24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 horizontal="center"/>
    </xf>
    <xf numFmtId="9" fontId="0" fillId="0" borderId="24" xfId="0" applyNumberFormat="1" applyFont="1" applyFill="1" applyBorder="1" applyAlignment="1">
      <alignment horizontal="center"/>
    </xf>
    <xf numFmtId="204" fontId="0" fillId="0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204" fontId="1" fillId="0" borderId="16" xfId="70" applyNumberFormat="1" applyFont="1" applyFill="1" applyBorder="1" applyAlignment="1">
      <alignment horizontal="right"/>
    </xf>
    <xf numFmtId="204" fontId="1" fillId="0" borderId="16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204" fontId="1" fillId="0" borderId="16" xfId="55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9" fontId="0" fillId="0" borderId="0" xfId="0" applyNumberFormat="1" applyBorder="1" applyAlignment="1">
      <alignment/>
    </xf>
    <xf numFmtId="204" fontId="0" fillId="0" borderId="16" xfId="0" applyNumberFormat="1" applyBorder="1" applyAlignment="1">
      <alignment/>
    </xf>
    <xf numFmtId="17" fontId="0" fillId="0" borderId="0" xfId="0" applyNumberFormat="1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8" fillId="0" borderId="19" xfId="52" applyFont="1" applyBorder="1" applyAlignment="1">
      <alignment horizontal="justify" wrapText="1"/>
      <protection/>
    </xf>
    <xf numFmtId="0" fontId="8" fillId="0" borderId="20" xfId="52" applyFont="1" applyBorder="1" applyAlignment="1">
      <alignment horizontal="justify" wrapText="1"/>
      <protection/>
    </xf>
    <xf numFmtId="0" fontId="8" fillId="0" borderId="19" xfId="52" applyFont="1" applyBorder="1" applyAlignment="1" applyProtection="1">
      <alignment horizontal="center"/>
      <protection locked="0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27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9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30" xfId="0" applyFont="1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0" fontId="0" fillId="0" borderId="0" xfId="70" applyFont="1" applyAlignment="1">
      <alignment/>
    </xf>
    <xf numFmtId="0" fontId="0" fillId="0" borderId="26" xfId="0" applyBorder="1" applyAlignment="1">
      <alignment wrapText="1"/>
    </xf>
    <xf numFmtId="0" fontId="9" fillId="33" borderId="21" xfId="61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29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31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4" xfId="0" applyFont="1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4" fillId="35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35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left" wrapText="1"/>
    </xf>
    <xf numFmtId="0" fontId="4" fillId="35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/>
    </xf>
    <xf numFmtId="4" fontId="0" fillId="0" borderId="19" xfId="70" applyNumberFormat="1" applyFont="1" applyFill="1" applyBorder="1" applyAlignment="1">
      <alignment wrapText="1"/>
    </xf>
    <xf numFmtId="4" fontId="0" fillId="0" borderId="25" xfId="70" applyNumberFormat="1" applyFont="1" applyBorder="1" applyAlignment="1">
      <alignment wrapText="1"/>
    </xf>
    <xf numFmtId="4" fontId="4" fillId="0" borderId="19" xfId="70" applyNumberFormat="1" applyFont="1" applyBorder="1" applyAlignment="1" applyProtection="1">
      <alignment horizontal="right"/>
      <protection locked="0"/>
    </xf>
    <xf numFmtId="4" fontId="0" fillId="0" borderId="25" xfId="70" applyNumberFormat="1" applyFont="1" applyFill="1" applyBorder="1" applyAlignment="1">
      <alignment wrapText="1"/>
    </xf>
    <xf numFmtId="4" fontId="0" fillId="0" borderId="26" xfId="70" applyNumberFormat="1" applyFont="1" applyFill="1" applyBorder="1" applyAlignment="1">
      <alignment wrapText="1"/>
    </xf>
    <xf numFmtId="4" fontId="0" fillId="0" borderId="35" xfId="70" applyNumberFormat="1" applyFont="1" applyFill="1" applyBorder="1" applyAlignment="1">
      <alignment wrapText="1"/>
    </xf>
    <xf numFmtId="4" fontId="0" fillId="0" borderId="36" xfId="70" applyNumberFormat="1" applyFont="1" applyFill="1" applyBorder="1" applyAlignment="1">
      <alignment wrapText="1"/>
    </xf>
    <xf numFmtId="4" fontId="0" fillId="0" borderId="11" xfId="70" applyNumberFormat="1" applyFont="1" applyFill="1" applyBorder="1" applyAlignment="1">
      <alignment wrapText="1"/>
    </xf>
    <xf numFmtId="4" fontId="4" fillId="33" borderId="21" xfId="70" applyNumberFormat="1" applyFont="1" applyFill="1" applyBorder="1" applyAlignment="1" applyProtection="1">
      <alignment horizontal="right"/>
      <protection locked="0"/>
    </xf>
    <xf numFmtId="4" fontId="4" fillId="33" borderId="22" xfId="70" applyNumberFormat="1" applyFont="1" applyFill="1" applyBorder="1" applyAlignment="1" applyProtection="1">
      <alignment horizontal="right"/>
      <protection locked="0"/>
    </xf>
    <xf numFmtId="4" fontId="0" fillId="0" borderId="30" xfId="70" applyNumberFormat="1" applyFont="1" applyFill="1" applyBorder="1" applyAlignment="1">
      <alignment wrapText="1"/>
    </xf>
    <xf numFmtId="4" fontId="0" fillId="0" borderId="26" xfId="70" applyNumberFormat="1" applyFont="1" applyBorder="1" applyAlignment="1">
      <alignment wrapText="1"/>
    </xf>
    <xf numFmtId="4" fontId="0" fillId="0" borderId="29" xfId="70" applyNumberFormat="1" applyFont="1" applyFill="1" applyBorder="1" applyAlignment="1">
      <alignment wrapText="1"/>
    </xf>
    <xf numFmtId="4" fontId="0" fillId="0" borderId="19" xfId="70" applyNumberFormat="1" applyFont="1" applyFill="1" applyBorder="1" applyAlignment="1">
      <alignment/>
    </xf>
    <xf numFmtId="4" fontId="0" fillId="0" borderId="37" xfId="70" applyNumberFormat="1" applyFont="1" applyFill="1" applyBorder="1" applyAlignment="1">
      <alignment wrapText="1"/>
    </xf>
    <xf numFmtId="4" fontId="0" fillId="0" borderId="0" xfId="70" applyNumberFormat="1" applyFont="1" applyFill="1" applyBorder="1" applyAlignment="1">
      <alignment wrapText="1"/>
    </xf>
    <xf numFmtId="4" fontId="0" fillId="0" borderId="38" xfId="70" applyNumberFormat="1" applyFont="1" applyFill="1" applyBorder="1" applyAlignment="1">
      <alignment wrapText="1"/>
    </xf>
    <xf numFmtId="4" fontId="0" fillId="0" borderId="32" xfId="70" applyNumberFormat="1" applyFont="1" applyFill="1" applyBorder="1" applyAlignment="1">
      <alignment wrapText="1"/>
    </xf>
    <xf numFmtId="4" fontId="15" fillId="0" borderId="25" xfId="70" applyNumberFormat="1" applyFont="1" applyFill="1" applyBorder="1" applyAlignment="1">
      <alignment wrapText="1"/>
    </xf>
    <xf numFmtId="4" fontId="0" fillId="0" borderId="10" xfId="70" applyNumberFormat="1" applyFont="1" applyFill="1" applyBorder="1" applyAlignment="1">
      <alignment wrapText="1"/>
    </xf>
    <xf numFmtId="4" fontId="0" fillId="0" borderId="0" xfId="70" applyNumberFormat="1" applyFont="1" applyFill="1" applyBorder="1" applyAlignment="1">
      <alignment/>
    </xf>
    <xf numFmtId="4" fontId="0" fillId="0" borderId="33" xfId="70" applyNumberFormat="1" applyFont="1" applyFill="1" applyBorder="1" applyAlignment="1">
      <alignment wrapText="1"/>
    </xf>
    <xf numFmtId="4" fontId="0" fillId="0" borderId="28" xfId="70" applyNumberFormat="1" applyFont="1" applyFill="1" applyBorder="1" applyAlignment="1">
      <alignment wrapText="1"/>
    </xf>
    <xf numFmtId="4" fontId="9" fillId="0" borderId="18" xfId="61" applyNumberFormat="1" applyFont="1" applyBorder="1" applyAlignment="1" applyProtection="1">
      <alignment horizontal="right"/>
      <protection locked="0"/>
    </xf>
    <xf numFmtId="4" fontId="8" fillId="0" borderId="13" xfId="61" applyNumberFormat="1" applyFont="1" applyBorder="1" applyAlignment="1" applyProtection="1">
      <alignment horizontal="right"/>
      <protection locked="0"/>
    </xf>
    <xf numFmtId="4" fontId="8" fillId="33" borderId="21" xfId="0" applyNumberFormat="1" applyFont="1" applyFill="1" applyBorder="1" applyAlignment="1">
      <alignment/>
    </xf>
    <xf numFmtId="10" fontId="8" fillId="33" borderId="21" xfId="55" applyNumberFormat="1" applyFont="1" applyFill="1" applyBorder="1" applyAlignment="1">
      <alignment horizontal="right" vertical="center" wrapText="1"/>
    </xf>
    <xf numFmtId="4" fontId="1" fillId="0" borderId="0" xfId="61" applyNumberFormat="1" applyFont="1" applyBorder="1" applyAlignment="1" applyProtection="1">
      <alignment horizontal="right"/>
      <protection locked="0"/>
    </xf>
    <xf numFmtId="0" fontId="0" fillId="34" borderId="0" xfId="0" applyFill="1" applyAlignment="1">
      <alignment/>
    </xf>
    <xf numFmtId="0" fontId="9" fillId="34" borderId="19" xfId="52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>
      <alignment wrapText="1"/>
    </xf>
    <xf numFmtId="0" fontId="0" fillId="34" borderId="25" xfId="0" applyFont="1" applyFill="1" applyBorder="1" applyAlignment="1">
      <alignment horizontal="center" wrapText="1"/>
    </xf>
    <xf numFmtId="4" fontId="0" fillId="34" borderId="25" xfId="70" applyNumberFormat="1" applyFont="1" applyFill="1" applyBorder="1" applyAlignment="1">
      <alignment wrapText="1"/>
    </xf>
    <xf numFmtId="4" fontId="0" fillId="34" borderId="26" xfId="70" applyNumberFormat="1" applyFont="1" applyFill="1" applyBorder="1" applyAlignment="1">
      <alignment wrapText="1"/>
    </xf>
    <xf numFmtId="4" fontId="4" fillId="34" borderId="19" xfId="70" applyNumberFormat="1" applyFont="1" applyFill="1" applyBorder="1" applyAlignment="1" applyProtection="1">
      <alignment horizontal="right"/>
      <protection locked="0"/>
    </xf>
    <xf numFmtId="0" fontId="7" fillId="0" borderId="15" xfId="0" applyFont="1" applyFill="1" applyBorder="1" applyAlignment="1">
      <alignment horizontal="justify"/>
    </xf>
    <xf numFmtId="4" fontId="6" fillId="0" borderId="16" xfId="0" applyNumberFormat="1" applyFont="1" applyFill="1" applyBorder="1" applyAlignment="1">
      <alignment/>
    </xf>
    <xf numFmtId="204" fontId="6" fillId="0" borderId="15" xfId="0" applyNumberFormat="1" applyFont="1" applyBorder="1" applyAlignment="1">
      <alignment horizontal="right"/>
    </xf>
    <xf numFmtId="0" fontId="8" fillId="34" borderId="15" xfId="52" applyFont="1" applyFill="1" applyBorder="1" applyAlignment="1">
      <alignment horizontal="justify" wrapText="1"/>
      <protection/>
    </xf>
    <xf numFmtId="204" fontId="6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0" xfId="52" applyFont="1" applyBorder="1" applyAlignment="1">
      <alignment horizontal="justify" wrapText="1"/>
      <protection/>
    </xf>
    <xf numFmtId="0" fontId="17" fillId="0" borderId="10" xfId="0" applyFont="1" applyFill="1" applyBorder="1" applyAlignment="1">
      <alignment horizontal="justify"/>
    </xf>
    <xf numFmtId="0" fontId="17" fillId="0" borderId="15" xfId="0" applyFont="1" applyFill="1" applyBorder="1" applyAlignment="1">
      <alignment horizontal="justify"/>
    </xf>
    <xf numFmtId="176" fontId="6" fillId="0" borderId="13" xfId="47" applyFont="1" applyFill="1" applyBorder="1" applyAlignment="1">
      <alignment/>
    </xf>
    <xf numFmtId="10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176" fontId="6" fillId="0" borderId="16" xfId="47" applyFont="1" applyFill="1" applyBorder="1" applyAlignment="1">
      <alignment/>
    </xf>
    <xf numFmtId="4" fontId="0" fillId="0" borderId="0" xfId="7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6" fillId="0" borderId="11" xfId="47" applyFont="1" applyFill="1" applyBorder="1" applyAlignment="1">
      <alignment/>
    </xf>
    <xf numFmtId="4" fontId="0" fillId="34" borderId="0" xfId="0" applyNumberFormat="1" applyFill="1" applyAlignment="1">
      <alignment/>
    </xf>
    <xf numFmtId="10" fontId="18" fillId="0" borderId="16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76" fontId="0" fillId="0" borderId="0" xfId="47" applyFont="1" applyBorder="1" applyAlignment="1">
      <alignment/>
    </xf>
    <xf numFmtId="176" fontId="0" fillId="0" borderId="0" xfId="47" applyFont="1" applyAlignment="1">
      <alignment/>
    </xf>
    <xf numFmtId="4" fontId="0" fillId="0" borderId="19" xfId="70" applyNumberFormat="1" applyFont="1" applyFill="1" applyBorder="1" applyAlignment="1">
      <alignment wrapText="1"/>
    </xf>
    <xf numFmtId="204" fontId="0" fillId="0" borderId="0" xfId="70" applyNumberFormat="1" applyFont="1" applyAlignment="1">
      <alignment/>
    </xf>
    <xf numFmtId="4" fontId="0" fillId="0" borderId="10" xfId="70" applyNumberFormat="1" applyFont="1" applyFill="1" applyBorder="1" applyAlignment="1">
      <alignment wrapText="1"/>
    </xf>
    <xf numFmtId="4" fontId="0" fillId="0" borderId="19" xfId="7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176" fontId="0" fillId="0" borderId="0" xfId="47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70" applyNumberFormat="1" applyFont="1" applyBorder="1" applyAlignment="1">
      <alignment/>
    </xf>
    <xf numFmtId="4" fontId="0" fillId="34" borderId="30" xfId="70" applyNumberFormat="1" applyFont="1" applyFill="1" applyBorder="1" applyAlignment="1">
      <alignment wrapText="1"/>
    </xf>
    <xf numFmtId="4" fontId="0" fillId="34" borderId="29" xfId="70" applyNumberFormat="1" applyFont="1" applyFill="1" applyBorder="1" applyAlignment="1">
      <alignment wrapText="1"/>
    </xf>
    <xf numFmtId="0" fontId="0" fillId="34" borderId="25" xfId="0" applyFill="1" applyBorder="1" applyAlignment="1">
      <alignment wrapText="1"/>
    </xf>
    <xf numFmtId="0" fontId="0" fillId="34" borderId="28" xfId="0" applyFill="1" applyBorder="1" applyAlignment="1">
      <alignment horizontal="center" wrapText="1"/>
    </xf>
    <xf numFmtId="4" fontId="0" fillId="34" borderId="19" xfId="70" applyNumberFormat="1" applyFont="1" applyFill="1" applyBorder="1" applyAlignment="1">
      <alignment wrapText="1"/>
    </xf>
    <xf numFmtId="4" fontId="0" fillId="34" borderId="32" xfId="70" applyNumberFormat="1" applyFont="1" applyFill="1" applyBorder="1" applyAlignment="1">
      <alignment wrapText="1"/>
    </xf>
    <xf numFmtId="0" fontId="0" fillId="34" borderId="26" xfId="0" applyFill="1" applyBorder="1" applyAlignment="1">
      <alignment wrapText="1"/>
    </xf>
    <xf numFmtId="0" fontId="0" fillId="34" borderId="26" xfId="0" applyFill="1" applyBorder="1" applyAlignment="1">
      <alignment horizontal="center" wrapText="1"/>
    </xf>
    <xf numFmtId="0" fontId="11" fillId="0" borderId="24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12" xfId="53" applyFont="1" applyFill="1" applyBorder="1" applyAlignment="1">
      <alignment horizontal="center"/>
      <protection/>
    </xf>
    <xf numFmtId="0" fontId="1" fillId="0" borderId="16" xfId="5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3" borderId="11" xfId="0" applyNumberFormat="1" applyFont="1" applyFill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ta" xfId="54"/>
    <cellStyle name="Percent" xfId="55"/>
    <cellStyle name="Porcentagem 2" xfId="56"/>
    <cellStyle name="Saída" xfId="57"/>
    <cellStyle name="Comma [0]" xfId="58"/>
    <cellStyle name="Separador de milhares 2" xfId="59"/>
    <cellStyle name="Separador de milhares 2 2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76200</xdr:rowOff>
    </xdr:from>
    <xdr:to>
      <xdr:col>9</xdr:col>
      <xdr:colOff>990600</xdr:colOff>
      <xdr:row>2</xdr:row>
      <xdr:rowOff>161925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76200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457200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048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0</xdr:row>
      <xdr:rowOff>66675</xdr:rowOff>
    </xdr:from>
    <xdr:to>
      <xdr:col>1</xdr:col>
      <xdr:colOff>2952750</xdr:colOff>
      <xdr:row>1</xdr:row>
      <xdr:rowOff>142875</xdr:rowOff>
    </xdr:to>
    <xdr:pic>
      <xdr:nvPicPr>
        <xdr:cNvPr id="2" name="Picture 4" descr="capa_to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66675"/>
          <a:ext cx="2324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0</xdr:row>
      <xdr:rowOff>76200</xdr:rowOff>
    </xdr:from>
    <xdr:to>
      <xdr:col>15</xdr:col>
      <xdr:colOff>895350</xdr:colOff>
      <xdr:row>3</xdr:row>
      <xdr:rowOff>142875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73675" y="7620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55</xdr:row>
      <xdr:rowOff>28575</xdr:rowOff>
    </xdr:from>
    <xdr:to>
      <xdr:col>1</xdr:col>
      <xdr:colOff>552450</xdr:colOff>
      <xdr:row>59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248775"/>
          <a:ext cx="7048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55</xdr:row>
      <xdr:rowOff>66675</xdr:rowOff>
    </xdr:from>
    <xdr:to>
      <xdr:col>1</xdr:col>
      <xdr:colOff>2952750</xdr:colOff>
      <xdr:row>56</xdr:row>
      <xdr:rowOff>142875</xdr:rowOff>
    </xdr:to>
    <xdr:pic>
      <xdr:nvPicPr>
        <xdr:cNvPr id="5" name="Picture 4" descr="capa_to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9286875"/>
          <a:ext cx="2324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55</xdr:row>
      <xdr:rowOff>76200</xdr:rowOff>
    </xdr:from>
    <xdr:to>
      <xdr:col>15</xdr:col>
      <xdr:colOff>895350</xdr:colOff>
      <xdr:row>58</xdr:row>
      <xdr:rowOff>142875</xdr:rowOff>
    </xdr:to>
    <xdr:pic>
      <xdr:nvPicPr>
        <xdr:cNvPr id="6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73675" y="929640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110</xdr:row>
      <xdr:rowOff>28575</xdr:rowOff>
    </xdr:from>
    <xdr:to>
      <xdr:col>1</xdr:col>
      <xdr:colOff>552450</xdr:colOff>
      <xdr:row>114</xdr:row>
      <xdr:rowOff>104775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440400"/>
          <a:ext cx="7048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628650</xdr:colOff>
      <xdr:row>110</xdr:row>
      <xdr:rowOff>66675</xdr:rowOff>
    </xdr:from>
    <xdr:to>
      <xdr:col>1</xdr:col>
      <xdr:colOff>2952750</xdr:colOff>
      <xdr:row>111</xdr:row>
      <xdr:rowOff>142875</xdr:rowOff>
    </xdr:to>
    <xdr:pic>
      <xdr:nvPicPr>
        <xdr:cNvPr id="8" name="Picture 4" descr="capa_to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18478500"/>
          <a:ext cx="2324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110</xdr:row>
      <xdr:rowOff>76200</xdr:rowOff>
    </xdr:from>
    <xdr:to>
      <xdr:col>15</xdr:col>
      <xdr:colOff>895350</xdr:colOff>
      <xdr:row>113</xdr:row>
      <xdr:rowOff>142875</xdr:rowOff>
    </xdr:to>
    <xdr:pic>
      <xdr:nvPicPr>
        <xdr:cNvPr id="9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73675" y="1848802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4"/>
  <sheetViews>
    <sheetView tabSelected="1" zoomScaleSheetLayoutView="82" zoomScalePageLayoutView="0" workbookViewId="0" topLeftCell="A523">
      <selection activeCell="A139" sqref="A139:J139"/>
    </sheetView>
  </sheetViews>
  <sheetFormatPr defaultColWidth="9.140625" defaultRowHeight="12.75"/>
  <cols>
    <col min="1" max="1" width="8.28125" style="0" customWidth="1"/>
    <col min="2" max="2" width="54.140625" style="0" customWidth="1"/>
    <col min="3" max="3" width="8.28125" style="35" bestFit="1" customWidth="1"/>
    <col min="4" max="4" width="13.421875" style="35" bestFit="1" customWidth="1"/>
    <col min="5" max="5" width="14.7109375" style="0" customWidth="1"/>
    <col min="6" max="6" width="14.421875" style="0" customWidth="1"/>
    <col min="7" max="7" width="13.421875" style="0" customWidth="1"/>
    <col min="8" max="8" width="17.8515625" style="0" bestFit="1" customWidth="1"/>
    <col min="9" max="9" width="23.00390625" style="0" customWidth="1"/>
    <col min="10" max="10" width="19.57421875" style="0" customWidth="1"/>
    <col min="11" max="11" width="19.7109375" style="0" customWidth="1"/>
    <col min="12" max="12" width="10.28125" style="0" bestFit="1" customWidth="1"/>
    <col min="14" max="14" width="25.00390625" style="0" customWidth="1"/>
  </cols>
  <sheetData>
    <row r="1" spans="1:11" ht="26.25">
      <c r="A1" s="115"/>
      <c r="B1" s="274" t="s">
        <v>10</v>
      </c>
      <c r="C1" s="274"/>
      <c r="D1" s="116"/>
      <c r="E1" s="116"/>
      <c r="F1" s="116"/>
      <c r="G1" s="116"/>
      <c r="H1" s="116"/>
      <c r="I1" s="116"/>
      <c r="J1" s="117"/>
      <c r="K1">
        <v>1.047629</v>
      </c>
    </row>
    <row r="2" spans="1:10" ht="12.75">
      <c r="A2" s="118"/>
      <c r="B2" s="275" t="s">
        <v>17</v>
      </c>
      <c r="C2" s="275"/>
      <c r="D2" s="51"/>
      <c r="E2" s="51"/>
      <c r="F2" s="51"/>
      <c r="G2" s="51"/>
      <c r="H2" s="52"/>
      <c r="I2" s="52"/>
      <c r="J2" s="119"/>
    </row>
    <row r="3" spans="1:10" ht="12.75">
      <c r="A3" s="118"/>
      <c r="B3" s="275" t="s">
        <v>18</v>
      </c>
      <c r="C3" s="275"/>
      <c r="D3" s="51"/>
      <c r="E3" s="51"/>
      <c r="F3" s="51"/>
      <c r="G3" s="51"/>
      <c r="H3" s="52"/>
      <c r="I3" s="52"/>
      <c r="J3" s="119"/>
    </row>
    <row r="4" spans="1:10" ht="12.75">
      <c r="A4" s="118"/>
      <c r="B4" s="53"/>
      <c r="C4" s="54"/>
      <c r="D4" s="52"/>
      <c r="E4" s="52"/>
      <c r="F4" s="52"/>
      <c r="G4" s="52"/>
      <c r="H4" s="52"/>
      <c r="I4" s="55"/>
      <c r="J4" s="120"/>
    </row>
    <row r="5" spans="1:10" ht="12.75">
      <c r="A5" s="121"/>
      <c r="B5" s="56" t="s">
        <v>21</v>
      </c>
      <c r="C5" s="57"/>
      <c r="D5" s="58"/>
      <c r="E5" s="58"/>
      <c r="F5" s="59"/>
      <c r="G5" s="60"/>
      <c r="H5" s="52"/>
      <c r="I5" s="52"/>
      <c r="J5" s="119"/>
    </row>
    <row r="6" spans="1:10" ht="12.75">
      <c r="A6" s="122"/>
      <c r="B6" s="51" t="s">
        <v>1058</v>
      </c>
      <c r="C6" s="57"/>
      <c r="D6" s="58"/>
      <c r="E6" s="61"/>
      <c r="F6" s="59"/>
      <c r="G6" s="62"/>
      <c r="H6" s="52"/>
      <c r="I6" s="52"/>
      <c r="J6" s="119"/>
    </row>
    <row r="7" spans="1:10" ht="12.75">
      <c r="A7" s="276" t="s">
        <v>22</v>
      </c>
      <c r="B7" s="275"/>
      <c r="C7" s="275"/>
      <c r="D7" s="275"/>
      <c r="E7" s="275"/>
      <c r="F7" s="275"/>
      <c r="G7" s="275"/>
      <c r="H7" s="275"/>
      <c r="I7" s="275"/>
      <c r="J7" s="277"/>
    </row>
    <row r="8" spans="1:10" ht="12.75">
      <c r="A8" s="123"/>
      <c r="B8" s="63"/>
      <c r="C8" s="64"/>
      <c r="D8" s="65"/>
      <c r="E8" s="65"/>
      <c r="F8" s="66"/>
      <c r="G8" s="67"/>
      <c r="H8" s="68" t="s">
        <v>1072</v>
      </c>
      <c r="I8" s="149"/>
      <c r="J8" s="124"/>
    </row>
    <row r="9" spans="1:14" ht="50.25" customHeight="1">
      <c r="A9" s="69" t="s">
        <v>0</v>
      </c>
      <c r="B9" s="69" t="s">
        <v>11</v>
      </c>
      <c r="C9" s="70" t="s">
        <v>15</v>
      </c>
      <c r="D9" s="71" t="s">
        <v>12</v>
      </c>
      <c r="E9" s="71" t="s">
        <v>1039</v>
      </c>
      <c r="F9" s="71" t="s">
        <v>1040</v>
      </c>
      <c r="G9" s="71" t="s">
        <v>1041</v>
      </c>
      <c r="H9" s="71" t="s">
        <v>1042</v>
      </c>
      <c r="I9" s="114" t="s">
        <v>1043</v>
      </c>
      <c r="J9" s="71" t="s">
        <v>1044</v>
      </c>
      <c r="N9" s="254"/>
    </row>
    <row r="10" spans="1:14" ht="12.75">
      <c r="A10" s="72">
        <v>1</v>
      </c>
      <c r="B10" s="73" t="s">
        <v>23</v>
      </c>
      <c r="C10" s="74"/>
      <c r="D10" s="75"/>
      <c r="E10" s="75"/>
      <c r="F10" s="75"/>
      <c r="G10" s="75"/>
      <c r="H10" s="75"/>
      <c r="I10" s="75"/>
      <c r="J10" s="76"/>
      <c r="N10" s="254"/>
    </row>
    <row r="11" spans="1:14" ht="38.25">
      <c r="A11" s="78" t="s">
        <v>32</v>
      </c>
      <c r="B11" s="150" t="s">
        <v>1048</v>
      </c>
      <c r="C11" s="157" t="s">
        <v>50</v>
      </c>
      <c r="D11" s="198">
        <v>7400</v>
      </c>
      <c r="E11" s="198">
        <v>0.78</v>
      </c>
      <c r="F11" s="198">
        <v>0.6</v>
      </c>
      <c r="G11" s="198">
        <f>E11+F11</f>
        <v>1.38</v>
      </c>
      <c r="H11" s="199">
        <f aca="true" t="shared" si="0" ref="H11:H16">D11*E11</f>
        <v>5772</v>
      </c>
      <c r="I11" s="199">
        <f aca="true" t="shared" si="1" ref="I11:I16">D11*F11</f>
        <v>4440</v>
      </c>
      <c r="J11" s="199">
        <f>I11+H11</f>
        <v>10212</v>
      </c>
      <c r="N11" s="254"/>
    </row>
    <row r="12" spans="1:14" ht="25.5">
      <c r="A12" s="78" t="s">
        <v>33</v>
      </c>
      <c r="B12" s="150" t="s">
        <v>24</v>
      </c>
      <c r="C12" s="157" t="s">
        <v>49</v>
      </c>
      <c r="D12" s="198">
        <v>1</v>
      </c>
      <c r="E12" s="198"/>
      <c r="F12" s="198">
        <v>741.86</v>
      </c>
      <c r="G12" s="198">
        <f>E12+F12</f>
        <v>741.86</v>
      </c>
      <c r="H12" s="199">
        <f t="shared" si="0"/>
        <v>0</v>
      </c>
      <c r="I12" s="199">
        <f t="shared" si="1"/>
        <v>741.86</v>
      </c>
      <c r="J12" s="199">
        <f aca="true" t="shared" si="2" ref="J12:J17">I12+H12</f>
        <v>741.86</v>
      </c>
      <c r="N12" s="254"/>
    </row>
    <row r="13" spans="1:14" ht="12.75">
      <c r="A13" s="78" t="s">
        <v>34</v>
      </c>
      <c r="B13" s="150" t="s">
        <v>25</v>
      </c>
      <c r="C13" s="157" t="s">
        <v>50</v>
      </c>
      <c r="D13" s="198">
        <v>50</v>
      </c>
      <c r="E13" s="198"/>
      <c r="F13" s="198">
        <v>85.32</v>
      </c>
      <c r="G13" s="198">
        <f>E13+F13</f>
        <v>85.32</v>
      </c>
      <c r="H13" s="199">
        <f t="shared" si="0"/>
        <v>0</v>
      </c>
      <c r="I13" s="199">
        <f t="shared" si="1"/>
        <v>4266</v>
      </c>
      <c r="J13" s="199">
        <f t="shared" si="2"/>
        <v>4266</v>
      </c>
      <c r="N13" s="254"/>
    </row>
    <row r="14" spans="1:14" ht="26.25" customHeight="1">
      <c r="A14" s="78" t="s">
        <v>35</v>
      </c>
      <c r="B14" s="151" t="s">
        <v>26</v>
      </c>
      <c r="C14" s="158" t="s">
        <v>50</v>
      </c>
      <c r="D14" s="200">
        <v>80</v>
      </c>
      <c r="E14" s="201">
        <f>170.06*K1</f>
        <v>178.15978773999998</v>
      </c>
      <c r="F14" s="201">
        <f>69.62*K1</f>
        <v>72.93593098</v>
      </c>
      <c r="G14" s="198">
        <f>E14+F14</f>
        <v>251.09571871999998</v>
      </c>
      <c r="H14" s="199">
        <f t="shared" si="0"/>
        <v>14252.783019199998</v>
      </c>
      <c r="I14" s="199">
        <f t="shared" si="1"/>
        <v>5834.874478399999</v>
      </c>
      <c r="J14" s="199">
        <f t="shared" si="2"/>
        <v>20087.657497599997</v>
      </c>
      <c r="N14" s="254"/>
    </row>
    <row r="15" spans="1:14" ht="12.75">
      <c r="A15" s="78" t="s">
        <v>36</v>
      </c>
      <c r="B15" s="152" t="s">
        <v>28</v>
      </c>
      <c r="C15" s="158" t="s">
        <v>50</v>
      </c>
      <c r="D15" s="200">
        <v>500</v>
      </c>
      <c r="E15" s="201">
        <f>20.62*K1</f>
        <v>21.602109979999998</v>
      </c>
      <c r="F15" s="201">
        <f>30.09*K1</f>
        <v>31.523156609999997</v>
      </c>
      <c r="G15" s="198">
        <f>E15+F15</f>
        <v>53.125266589999995</v>
      </c>
      <c r="H15" s="199">
        <f t="shared" si="0"/>
        <v>10801.054989999999</v>
      </c>
      <c r="I15" s="199">
        <f t="shared" si="1"/>
        <v>15761.578305</v>
      </c>
      <c r="J15" s="199">
        <f t="shared" si="2"/>
        <v>26562.633295</v>
      </c>
      <c r="N15" s="254"/>
    </row>
    <row r="16" spans="1:14" ht="12.75">
      <c r="A16" s="78" t="s">
        <v>37</v>
      </c>
      <c r="B16" s="152" t="s">
        <v>29</v>
      </c>
      <c r="C16" s="159" t="s">
        <v>50</v>
      </c>
      <c r="D16" s="200">
        <v>6</v>
      </c>
      <c r="E16" s="201">
        <v>61.97</v>
      </c>
      <c r="F16" s="201">
        <v>289.93</v>
      </c>
      <c r="G16" s="198">
        <v>351.91</v>
      </c>
      <c r="H16" s="199">
        <f t="shared" si="0"/>
        <v>371.82</v>
      </c>
      <c r="I16" s="199">
        <f t="shared" si="1"/>
        <v>1739.58</v>
      </c>
      <c r="J16" s="199">
        <f t="shared" si="2"/>
        <v>2111.4</v>
      </c>
      <c r="K16" s="1"/>
      <c r="N16" s="254"/>
    </row>
    <row r="17" spans="1:14" ht="12.75">
      <c r="A17" s="78" t="s">
        <v>38</v>
      </c>
      <c r="B17" s="160" t="s">
        <v>59</v>
      </c>
      <c r="C17" s="161" t="s">
        <v>60</v>
      </c>
      <c r="D17" s="200">
        <v>30</v>
      </c>
      <c r="E17" s="201">
        <v>9206.37</v>
      </c>
      <c r="F17" s="201">
        <v>15809.34</v>
      </c>
      <c r="G17" s="198">
        <f>E17+F17</f>
        <v>25015.71</v>
      </c>
      <c r="H17" s="199">
        <v>276191.17</v>
      </c>
      <c r="I17" s="199">
        <v>474280.13</v>
      </c>
      <c r="J17" s="199">
        <f t="shared" si="2"/>
        <v>750471.3</v>
      </c>
      <c r="K17" s="1"/>
      <c r="N17" s="254"/>
    </row>
    <row r="18" spans="1:15" ht="27.75" customHeight="1">
      <c r="A18" s="155" t="s">
        <v>44</v>
      </c>
      <c r="B18" s="153" t="s">
        <v>31</v>
      </c>
      <c r="C18" s="80"/>
      <c r="D18" s="199"/>
      <c r="E18" s="201"/>
      <c r="F18" s="201"/>
      <c r="G18" s="201"/>
      <c r="H18" s="199"/>
      <c r="I18" s="199"/>
      <c r="J18" s="199"/>
      <c r="N18" s="254"/>
      <c r="O18" s="9"/>
    </row>
    <row r="19" spans="1:14" ht="38.25">
      <c r="A19" s="78" t="s">
        <v>45</v>
      </c>
      <c r="B19" s="152" t="s">
        <v>1046</v>
      </c>
      <c r="C19" s="80" t="s">
        <v>50</v>
      </c>
      <c r="D19" s="202">
        <v>7367.5</v>
      </c>
      <c r="E19" s="201">
        <f>2.04*K1</f>
        <v>2.13716316</v>
      </c>
      <c r="F19" s="201">
        <f>0.1*K1</f>
        <v>0.10476289999999999</v>
      </c>
      <c r="G19" s="201">
        <f aca="true" t="shared" si="3" ref="G19:G24">F19+E19</f>
        <v>2.24192606</v>
      </c>
      <c r="H19" s="199">
        <f aca="true" t="shared" si="4" ref="H19:H24">D19*E19</f>
        <v>15745.5495813</v>
      </c>
      <c r="I19" s="199">
        <f aca="true" t="shared" si="5" ref="I19:I24">D19*F19</f>
        <v>771.84066575</v>
      </c>
      <c r="J19" s="199">
        <f aca="true" t="shared" si="6" ref="J19:J24">I19+H19</f>
        <v>16517.39024705</v>
      </c>
      <c r="K19" s="256"/>
      <c r="N19" s="254"/>
    </row>
    <row r="20" spans="1:14" ht="12.75">
      <c r="A20" s="78" t="s">
        <v>47</v>
      </c>
      <c r="B20" s="151" t="s">
        <v>39</v>
      </c>
      <c r="C20" s="80" t="s">
        <v>50</v>
      </c>
      <c r="D20" s="203">
        <v>3834.61</v>
      </c>
      <c r="E20" s="201">
        <f>4.09*K1</f>
        <v>4.28480261</v>
      </c>
      <c r="F20" s="201">
        <f>3.38*K1</f>
        <v>3.5409860199999996</v>
      </c>
      <c r="G20" s="201">
        <f t="shared" si="3"/>
        <v>7.82578863</v>
      </c>
      <c r="H20" s="199">
        <f t="shared" si="4"/>
        <v>16430.5469363321</v>
      </c>
      <c r="I20" s="199">
        <f t="shared" si="5"/>
        <v>13578.3004021522</v>
      </c>
      <c r="J20" s="199">
        <f t="shared" si="6"/>
        <v>30008.8473384843</v>
      </c>
      <c r="N20" s="254"/>
    </row>
    <row r="21" spans="1:14" ht="25.5">
      <c r="A21" s="78" t="s">
        <v>52</v>
      </c>
      <c r="B21" s="151" t="s">
        <v>40</v>
      </c>
      <c r="C21" s="80" t="s">
        <v>51</v>
      </c>
      <c r="D21" s="203">
        <v>13745.8</v>
      </c>
      <c r="E21" s="201">
        <f>6.18*K1</f>
        <v>6.474347219999999</v>
      </c>
      <c r="F21" s="201">
        <f>0.17*K1</f>
        <v>0.17809693</v>
      </c>
      <c r="G21" s="201">
        <f t="shared" si="3"/>
        <v>6.652444149999999</v>
      </c>
      <c r="H21" s="199">
        <f t="shared" si="4"/>
        <v>88995.08201667598</v>
      </c>
      <c r="I21" s="199">
        <f t="shared" si="5"/>
        <v>2448.0847803939996</v>
      </c>
      <c r="J21" s="199">
        <f t="shared" si="6"/>
        <v>91443.16679706998</v>
      </c>
      <c r="K21" s="169"/>
      <c r="N21" s="254"/>
    </row>
    <row r="22" spans="1:14" ht="25.5">
      <c r="A22" s="78" t="s">
        <v>53</v>
      </c>
      <c r="B22" s="151" t="s">
        <v>41</v>
      </c>
      <c r="C22" s="80" t="s">
        <v>51</v>
      </c>
      <c r="D22" s="203">
        <v>1127.6</v>
      </c>
      <c r="E22" s="201">
        <f>8.02*K1</f>
        <v>8.401984579999999</v>
      </c>
      <c r="F22" s="201">
        <f>0.24*K1</f>
        <v>0.25143096</v>
      </c>
      <c r="G22" s="201">
        <f t="shared" si="3"/>
        <v>8.65341554</v>
      </c>
      <c r="H22" s="199">
        <f t="shared" si="4"/>
        <v>9474.077812407997</v>
      </c>
      <c r="I22" s="199">
        <f t="shared" si="5"/>
        <v>283.51355049599994</v>
      </c>
      <c r="J22" s="199">
        <f t="shared" si="6"/>
        <v>9757.591362903997</v>
      </c>
      <c r="N22" s="254"/>
    </row>
    <row r="23" spans="1:14" ht="25.5">
      <c r="A23" s="78" t="s">
        <v>54</v>
      </c>
      <c r="B23" s="151" t="s">
        <v>42</v>
      </c>
      <c r="C23" s="80" t="s">
        <v>51</v>
      </c>
      <c r="D23" s="203">
        <v>1127.6</v>
      </c>
      <c r="E23" s="201">
        <f>5.14*K1</f>
        <v>5.384813059999999</v>
      </c>
      <c r="F23" s="201">
        <f>0.18*K1</f>
        <v>0.18857321999999999</v>
      </c>
      <c r="G23" s="201">
        <f t="shared" si="3"/>
        <v>5.573386279999999</v>
      </c>
      <c r="H23" s="199">
        <f t="shared" si="4"/>
        <v>6071.9152064559985</v>
      </c>
      <c r="I23" s="199">
        <f t="shared" si="5"/>
        <v>212.63516287199997</v>
      </c>
      <c r="J23" s="199">
        <f t="shared" si="6"/>
        <v>6284.550369327999</v>
      </c>
      <c r="N23" s="254"/>
    </row>
    <row r="24" spans="1:14" ht="25.5">
      <c r="A24" s="78" t="s">
        <v>55</v>
      </c>
      <c r="B24" s="152" t="s">
        <v>1047</v>
      </c>
      <c r="C24" s="80" t="s">
        <v>51</v>
      </c>
      <c r="D24" s="204">
        <v>12618.2</v>
      </c>
      <c r="E24" s="200">
        <f>6.08*K1</f>
        <v>6.3695843199999995</v>
      </c>
      <c r="F24" s="200">
        <v>0</v>
      </c>
      <c r="G24" s="201">
        <f t="shared" si="3"/>
        <v>6.3695843199999995</v>
      </c>
      <c r="H24" s="199">
        <f t="shared" si="4"/>
        <v>80372.688866624</v>
      </c>
      <c r="I24" s="199">
        <f t="shared" si="5"/>
        <v>0</v>
      </c>
      <c r="J24" s="199">
        <f t="shared" si="6"/>
        <v>80372.688866624</v>
      </c>
      <c r="N24" s="254"/>
    </row>
    <row r="25" spans="1:14" ht="24">
      <c r="A25" s="155" t="s">
        <v>56</v>
      </c>
      <c r="B25" s="154" t="s">
        <v>43</v>
      </c>
      <c r="C25" s="80"/>
      <c r="D25" s="199"/>
      <c r="E25" s="199"/>
      <c r="F25" s="199"/>
      <c r="G25" s="199"/>
      <c r="H25" s="199"/>
      <c r="I25" s="199"/>
      <c r="J25" s="199"/>
      <c r="N25" s="254"/>
    </row>
    <row r="26" spans="1:14" ht="38.25">
      <c r="A26" s="78" t="s">
        <v>57</v>
      </c>
      <c r="B26" s="152" t="s">
        <v>1046</v>
      </c>
      <c r="C26" s="80" t="s">
        <v>50</v>
      </c>
      <c r="D26" s="203">
        <v>3200</v>
      </c>
      <c r="E26" s="201">
        <f>2.04*K1</f>
        <v>2.13716316</v>
      </c>
      <c r="F26" s="201">
        <f>0.1*K1</f>
        <v>0.10476289999999999</v>
      </c>
      <c r="G26" s="201">
        <f>E26+F26</f>
        <v>2.24192606</v>
      </c>
      <c r="H26" s="199">
        <f>D26*E26</f>
        <v>6838.922112</v>
      </c>
      <c r="I26" s="199">
        <f>D26*F26</f>
        <v>335.24127999999996</v>
      </c>
      <c r="J26" s="199">
        <f>I26+H26</f>
        <v>7174.163392</v>
      </c>
      <c r="K26" s="1"/>
      <c r="N26" s="254"/>
    </row>
    <row r="27" spans="1:14" ht="12.75">
      <c r="A27" s="78" t="s">
        <v>58</v>
      </c>
      <c r="B27" s="152" t="s">
        <v>46</v>
      </c>
      <c r="C27" s="80" t="s">
        <v>51</v>
      </c>
      <c r="D27" s="203">
        <v>160</v>
      </c>
      <c r="E27" s="201">
        <f>79.85*K1</f>
        <v>83.65317565</v>
      </c>
      <c r="F27" s="201">
        <f>17.94*K1</f>
        <v>18.79446426</v>
      </c>
      <c r="G27" s="201">
        <f>E27+F27</f>
        <v>102.44763990999999</v>
      </c>
      <c r="H27" s="199">
        <f>D27*E27</f>
        <v>13384.508103999999</v>
      </c>
      <c r="I27" s="199">
        <f>D27*F27</f>
        <v>3007.1142816</v>
      </c>
      <c r="J27" s="199">
        <f>I27+H27</f>
        <v>16391.6223856</v>
      </c>
      <c r="K27" s="1"/>
      <c r="N27" s="254"/>
    </row>
    <row r="28" spans="1:14" ht="12.75">
      <c r="A28" s="72">
        <v>2</v>
      </c>
      <c r="B28" s="77" t="s">
        <v>48</v>
      </c>
      <c r="C28" s="75"/>
      <c r="D28" s="205"/>
      <c r="E28" s="205"/>
      <c r="F28" s="205"/>
      <c r="G28" s="205"/>
      <c r="H28" s="205"/>
      <c r="I28" s="205"/>
      <c r="J28" s="206"/>
      <c r="K28" s="254"/>
      <c r="N28" s="254"/>
    </row>
    <row r="29" spans="1:14" ht="12.75">
      <c r="A29" s="155" t="s">
        <v>62</v>
      </c>
      <c r="B29" s="153" t="s">
        <v>61</v>
      </c>
      <c r="C29" s="80"/>
      <c r="D29" s="199"/>
      <c r="E29" s="199"/>
      <c r="F29" s="199"/>
      <c r="G29" s="199"/>
      <c r="H29" s="199"/>
      <c r="I29" s="199"/>
      <c r="J29" s="199"/>
      <c r="L29" s="9"/>
      <c r="N29" s="254"/>
    </row>
    <row r="30" spans="1:14" ht="12.75">
      <c r="A30" s="78" t="s">
        <v>63</v>
      </c>
      <c r="B30" s="152" t="s">
        <v>64</v>
      </c>
      <c r="C30" s="159" t="s">
        <v>49</v>
      </c>
      <c r="D30" s="200">
        <v>1</v>
      </c>
      <c r="E30" s="200">
        <v>1396.8</v>
      </c>
      <c r="F30" s="200">
        <v>0</v>
      </c>
      <c r="G30" s="207">
        <v>1396.8</v>
      </c>
      <c r="H30" s="199">
        <f aca="true" t="shared" si="7" ref="H30:H67">D30*E30</f>
        <v>1396.8</v>
      </c>
      <c r="I30" s="199">
        <f aca="true" t="shared" si="8" ref="I30:I67">D30*F30</f>
        <v>0</v>
      </c>
      <c r="J30" s="199">
        <f>I30+H30</f>
        <v>1396.8</v>
      </c>
      <c r="L30" s="9"/>
      <c r="N30" s="254"/>
    </row>
    <row r="31" spans="1:14" ht="12.75">
      <c r="A31" s="78" t="s">
        <v>73</v>
      </c>
      <c r="B31" s="152" t="s">
        <v>65</v>
      </c>
      <c r="C31" s="159" t="s">
        <v>81</v>
      </c>
      <c r="D31" s="200">
        <v>471</v>
      </c>
      <c r="E31" s="200">
        <f>38.78*K1</f>
        <v>40.62705262</v>
      </c>
      <c r="F31" s="200">
        <v>0</v>
      </c>
      <c r="G31" s="207">
        <f aca="true" t="shared" si="9" ref="G31:G38">E31+F31</f>
        <v>40.62705262</v>
      </c>
      <c r="H31" s="199">
        <f t="shared" si="7"/>
        <v>19135.34178402</v>
      </c>
      <c r="I31" s="199">
        <f t="shared" si="8"/>
        <v>0</v>
      </c>
      <c r="J31" s="199">
        <f aca="true" t="shared" si="10" ref="J31:J67">I31+H31</f>
        <v>19135.34178402</v>
      </c>
      <c r="L31" s="9"/>
      <c r="N31" s="254"/>
    </row>
    <row r="32" spans="1:14" ht="12.75">
      <c r="A32" s="78" t="s">
        <v>74</v>
      </c>
      <c r="B32" s="152" t="s">
        <v>66</v>
      </c>
      <c r="C32" s="159" t="s">
        <v>51</v>
      </c>
      <c r="D32" s="200">
        <v>84.78</v>
      </c>
      <c r="E32" s="200">
        <f>307.5*K1</f>
        <v>322.1459175</v>
      </c>
      <c r="F32" s="200">
        <v>0</v>
      </c>
      <c r="G32" s="207">
        <f t="shared" si="9"/>
        <v>322.1459175</v>
      </c>
      <c r="H32" s="199">
        <f t="shared" si="7"/>
        <v>27311.53088565</v>
      </c>
      <c r="I32" s="199">
        <f t="shared" si="8"/>
        <v>0</v>
      </c>
      <c r="J32" s="199">
        <f t="shared" si="10"/>
        <v>27311.53088565</v>
      </c>
      <c r="L32" s="9"/>
      <c r="N32" s="254"/>
    </row>
    <row r="33" spans="1:14" ht="12.75">
      <c r="A33" s="78" t="s">
        <v>75</v>
      </c>
      <c r="B33" s="152" t="s">
        <v>67</v>
      </c>
      <c r="C33" s="159" t="s">
        <v>50</v>
      </c>
      <c r="D33" s="200">
        <v>1035</v>
      </c>
      <c r="E33" s="200">
        <f>19.575*K1</f>
        <v>20.507337675</v>
      </c>
      <c r="F33" s="200">
        <f>33.1625*K1</f>
        <v>34.7419967125</v>
      </c>
      <c r="G33" s="207">
        <f t="shared" si="9"/>
        <v>55.2493343875</v>
      </c>
      <c r="H33" s="199">
        <f t="shared" si="7"/>
        <v>21225.094493624998</v>
      </c>
      <c r="I33" s="199">
        <f t="shared" si="8"/>
        <v>35957.966597437495</v>
      </c>
      <c r="J33" s="199">
        <f t="shared" si="10"/>
        <v>57183.0610910625</v>
      </c>
      <c r="L33" s="9"/>
      <c r="N33" s="254"/>
    </row>
    <row r="34" spans="1:14" ht="25.5">
      <c r="A34" s="78" t="s">
        <v>76</v>
      </c>
      <c r="B34" s="162" t="s">
        <v>68</v>
      </c>
      <c r="C34" s="159" t="s">
        <v>51</v>
      </c>
      <c r="D34" s="200">
        <v>300</v>
      </c>
      <c r="E34" s="200">
        <v>117.18</v>
      </c>
      <c r="F34" s="200">
        <v>0</v>
      </c>
      <c r="G34" s="207">
        <v>117.18</v>
      </c>
      <c r="H34" s="199">
        <f t="shared" si="7"/>
        <v>35154</v>
      </c>
      <c r="I34" s="199">
        <f t="shared" si="8"/>
        <v>0</v>
      </c>
      <c r="J34" s="199">
        <f t="shared" si="10"/>
        <v>35154</v>
      </c>
      <c r="L34" s="9"/>
      <c r="N34" s="254"/>
    </row>
    <row r="35" spans="1:14" ht="12.75">
      <c r="A35" s="78" t="s">
        <v>77</v>
      </c>
      <c r="B35" s="152" t="s">
        <v>69</v>
      </c>
      <c r="C35" s="159" t="s">
        <v>51</v>
      </c>
      <c r="D35" s="200">
        <v>235</v>
      </c>
      <c r="E35" s="200"/>
      <c r="F35" s="200">
        <v>259.19</v>
      </c>
      <c r="G35" s="207">
        <f t="shared" si="9"/>
        <v>259.19</v>
      </c>
      <c r="H35" s="199">
        <f t="shared" si="7"/>
        <v>0</v>
      </c>
      <c r="I35" s="199">
        <f t="shared" si="8"/>
        <v>60909.65</v>
      </c>
      <c r="J35" s="199">
        <f t="shared" si="10"/>
        <v>60909.65</v>
      </c>
      <c r="L35" s="9"/>
      <c r="N35" s="254"/>
    </row>
    <row r="36" spans="1:14" ht="12.75">
      <c r="A36" s="78" t="s">
        <v>78</v>
      </c>
      <c r="B36" s="152" t="s">
        <v>70</v>
      </c>
      <c r="C36" s="159" t="s">
        <v>51</v>
      </c>
      <c r="D36" s="200">
        <v>65</v>
      </c>
      <c r="E36" s="200"/>
      <c r="F36" s="200">
        <v>280.34</v>
      </c>
      <c r="G36" s="207">
        <f t="shared" si="9"/>
        <v>280.34</v>
      </c>
      <c r="H36" s="199">
        <f t="shared" si="7"/>
        <v>0</v>
      </c>
      <c r="I36" s="199">
        <f t="shared" si="8"/>
        <v>18222.1</v>
      </c>
      <c r="J36" s="199">
        <f t="shared" si="10"/>
        <v>18222.1</v>
      </c>
      <c r="L36" s="9"/>
      <c r="N36" s="254"/>
    </row>
    <row r="37" spans="1:14" ht="12.75">
      <c r="A37" s="78" t="s">
        <v>79</v>
      </c>
      <c r="B37" s="162" t="s">
        <v>71</v>
      </c>
      <c r="C37" s="159" t="s">
        <v>82</v>
      </c>
      <c r="D37" s="200">
        <v>8498</v>
      </c>
      <c r="E37" s="200">
        <v>1.75</v>
      </c>
      <c r="F37" s="200">
        <v>3.89</v>
      </c>
      <c r="G37" s="207">
        <v>5.41</v>
      </c>
      <c r="H37" s="199">
        <f t="shared" si="7"/>
        <v>14871.5</v>
      </c>
      <c r="I37" s="199">
        <f t="shared" si="8"/>
        <v>33057.22</v>
      </c>
      <c r="J37" s="199">
        <f t="shared" si="10"/>
        <v>47928.72</v>
      </c>
      <c r="L37" s="9"/>
      <c r="N37" s="254"/>
    </row>
    <row r="38" spans="1:14" ht="12.75">
      <c r="A38" s="78" t="s">
        <v>80</v>
      </c>
      <c r="B38" s="162" t="s">
        <v>72</v>
      </c>
      <c r="C38" s="159" t="s">
        <v>81</v>
      </c>
      <c r="D38" s="200">
        <v>165</v>
      </c>
      <c r="E38" s="200">
        <f>50.36*K1</f>
        <v>52.75859644</v>
      </c>
      <c r="F38" s="200">
        <f>23.11*K1</f>
        <v>24.210706189999996</v>
      </c>
      <c r="G38" s="207">
        <f t="shared" si="9"/>
        <v>76.96930262999999</v>
      </c>
      <c r="H38" s="199">
        <f t="shared" si="7"/>
        <v>8705.1684126</v>
      </c>
      <c r="I38" s="199">
        <f t="shared" si="8"/>
        <v>3994.7665213499995</v>
      </c>
      <c r="J38" s="199">
        <f t="shared" si="10"/>
        <v>12699.93493395</v>
      </c>
      <c r="L38" s="9"/>
      <c r="N38" s="254"/>
    </row>
    <row r="39" spans="1:14" ht="12.75">
      <c r="A39" s="155" t="s">
        <v>84</v>
      </c>
      <c r="B39" s="153" t="s">
        <v>83</v>
      </c>
      <c r="C39" s="80"/>
      <c r="D39" s="199"/>
      <c r="E39" s="199"/>
      <c r="F39" s="199"/>
      <c r="G39" s="199"/>
      <c r="H39" s="199"/>
      <c r="I39" s="199"/>
      <c r="J39" s="199"/>
      <c r="L39" s="9"/>
      <c r="N39" s="254"/>
    </row>
    <row r="40" spans="1:14" ht="25.5">
      <c r="A40" s="78" t="s">
        <v>90</v>
      </c>
      <c r="B40" s="162" t="s">
        <v>85</v>
      </c>
      <c r="C40" s="159" t="s">
        <v>51</v>
      </c>
      <c r="D40" s="200">
        <v>275</v>
      </c>
      <c r="E40" s="201">
        <f>6.18*K1</f>
        <v>6.474347219999999</v>
      </c>
      <c r="F40" s="201">
        <f>0.17*K1</f>
        <v>0.17809693</v>
      </c>
      <c r="G40" s="201">
        <f>E40+F40</f>
        <v>6.652444149999999</v>
      </c>
      <c r="H40" s="199">
        <f t="shared" si="7"/>
        <v>1780.4454855</v>
      </c>
      <c r="I40" s="199">
        <f t="shared" si="8"/>
        <v>48.97665575</v>
      </c>
      <c r="J40" s="199">
        <f t="shared" si="10"/>
        <v>1829.4221412499999</v>
      </c>
      <c r="L40" s="9"/>
      <c r="N40" s="254"/>
    </row>
    <row r="41" spans="1:14" ht="12.75">
      <c r="A41" s="78" t="s">
        <v>91</v>
      </c>
      <c r="B41" s="152" t="s">
        <v>46</v>
      </c>
      <c r="C41" s="159" t="s">
        <v>51</v>
      </c>
      <c r="D41" s="200">
        <v>26.4</v>
      </c>
      <c r="E41" s="208">
        <f>79.85*K1</f>
        <v>83.65317565</v>
      </c>
      <c r="F41" s="208">
        <f>17.94*K1</f>
        <v>18.79446426</v>
      </c>
      <c r="G41" s="201">
        <f>E41+F41</f>
        <v>102.44763990999999</v>
      </c>
      <c r="H41" s="199">
        <f t="shared" si="7"/>
        <v>2208.44383716</v>
      </c>
      <c r="I41" s="199">
        <f t="shared" si="8"/>
        <v>496.17385646400004</v>
      </c>
      <c r="J41" s="199">
        <f t="shared" si="10"/>
        <v>2704.617693624</v>
      </c>
      <c r="L41" s="9"/>
      <c r="N41" s="254"/>
    </row>
    <row r="42" spans="1:14" ht="25.5">
      <c r="A42" s="78" t="s">
        <v>92</v>
      </c>
      <c r="B42" s="162" t="s">
        <v>86</v>
      </c>
      <c r="C42" s="159" t="s">
        <v>50</v>
      </c>
      <c r="D42" s="200">
        <v>1580.77</v>
      </c>
      <c r="E42" s="201">
        <f>16.93*K1</f>
        <v>17.736358969999998</v>
      </c>
      <c r="F42" s="201">
        <f>33.39*K1</f>
        <v>34.98033231</v>
      </c>
      <c r="G42" s="201">
        <f aca="true" t="shared" si="11" ref="G42:G48">E42+F42</f>
        <v>52.71669128</v>
      </c>
      <c r="H42" s="199">
        <f t="shared" si="7"/>
        <v>28037.104169006896</v>
      </c>
      <c r="I42" s="199">
        <f t="shared" si="8"/>
        <v>55295.8599056787</v>
      </c>
      <c r="J42" s="199">
        <f t="shared" si="10"/>
        <v>83332.96407468559</v>
      </c>
      <c r="L42" s="9"/>
      <c r="N42" s="254"/>
    </row>
    <row r="43" spans="1:14" ht="12.75">
      <c r="A43" s="78" t="s">
        <v>93</v>
      </c>
      <c r="B43" s="152" t="s">
        <v>71</v>
      </c>
      <c r="C43" s="159" t="s">
        <v>82</v>
      </c>
      <c r="D43" s="200">
        <v>5172</v>
      </c>
      <c r="E43" s="200">
        <f>3.71*K1</f>
        <v>3.8867035899999998</v>
      </c>
      <c r="F43" s="200">
        <f>1.51*K1</f>
        <v>1.58191979</v>
      </c>
      <c r="G43" s="201">
        <f t="shared" si="11"/>
        <v>5.4686233799999995</v>
      </c>
      <c r="H43" s="199">
        <f t="shared" si="7"/>
        <v>20102.030967479997</v>
      </c>
      <c r="I43" s="199">
        <f t="shared" si="8"/>
        <v>8181.68915388</v>
      </c>
      <c r="J43" s="199">
        <f t="shared" si="10"/>
        <v>28283.72012136</v>
      </c>
      <c r="L43" s="9"/>
      <c r="N43" s="254"/>
    </row>
    <row r="44" spans="1:14" ht="12.75">
      <c r="A44" s="78" t="s">
        <v>94</v>
      </c>
      <c r="B44" s="152" t="s">
        <v>87</v>
      </c>
      <c r="C44" s="159" t="s">
        <v>82</v>
      </c>
      <c r="D44" s="200">
        <v>1317</v>
      </c>
      <c r="E44" s="200">
        <f>3.65*K1</f>
        <v>3.8238458499999997</v>
      </c>
      <c r="F44" s="200">
        <f>1.51*K1</f>
        <v>1.58191979</v>
      </c>
      <c r="G44" s="201">
        <f t="shared" si="11"/>
        <v>5.405765639999999</v>
      </c>
      <c r="H44" s="199">
        <f t="shared" si="7"/>
        <v>5036.00498445</v>
      </c>
      <c r="I44" s="199">
        <f t="shared" si="8"/>
        <v>2083.38836343</v>
      </c>
      <c r="J44" s="199">
        <f t="shared" si="10"/>
        <v>7119.39334788</v>
      </c>
      <c r="L44" s="9"/>
      <c r="N44" s="254"/>
    </row>
    <row r="45" spans="1:14" ht="12.75">
      <c r="A45" s="78" t="s">
        <v>95</v>
      </c>
      <c r="B45" s="152" t="s">
        <v>70</v>
      </c>
      <c r="C45" s="159" t="s">
        <v>51</v>
      </c>
      <c r="D45" s="200">
        <v>121.39</v>
      </c>
      <c r="E45" s="200">
        <f>267.59*K1</f>
        <v>280.33504410999996</v>
      </c>
      <c r="F45" s="200">
        <v>0</v>
      </c>
      <c r="G45" s="201">
        <f t="shared" si="11"/>
        <v>280.33504410999996</v>
      </c>
      <c r="H45" s="199">
        <f t="shared" si="7"/>
        <v>34029.8710045129</v>
      </c>
      <c r="I45" s="199">
        <f t="shared" si="8"/>
        <v>0</v>
      </c>
      <c r="J45" s="199">
        <f t="shared" si="10"/>
        <v>34029.8710045129</v>
      </c>
      <c r="L45" s="9"/>
      <c r="N45" s="254"/>
    </row>
    <row r="46" spans="1:14" ht="25.5">
      <c r="A46" s="78" t="s">
        <v>96</v>
      </c>
      <c r="B46" s="152" t="s">
        <v>68</v>
      </c>
      <c r="C46" s="164" t="s">
        <v>51</v>
      </c>
      <c r="D46" s="209">
        <v>121.39</v>
      </c>
      <c r="E46" s="201">
        <v>0</v>
      </c>
      <c r="F46" s="201">
        <f>100.72*K1</f>
        <v>105.51719288</v>
      </c>
      <c r="G46" s="201">
        <f t="shared" si="11"/>
        <v>105.51719288</v>
      </c>
      <c r="H46" s="199">
        <f t="shared" si="7"/>
        <v>0</v>
      </c>
      <c r="I46" s="199">
        <f t="shared" si="8"/>
        <v>12808.7320437032</v>
      </c>
      <c r="J46" s="199">
        <f t="shared" si="10"/>
        <v>12808.7320437032</v>
      </c>
      <c r="L46" s="9"/>
      <c r="N46" s="254"/>
    </row>
    <row r="47" spans="1:14" ht="12.75">
      <c r="A47" s="78" t="s">
        <v>97</v>
      </c>
      <c r="B47" s="163" t="s">
        <v>88</v>
      </c>
      <c r="C47" s="165" t="s">
        <v>51</v>
      </c>
      <c r="D47" s="210">
        <v>154</v>
      </c>
      <c r="E47" s="208">
        <v>0</v>
      </c>
      <c r="F47" s="208">
        <f>11.15*K1</f>
        <v>11.681063349999999</v>
      </c>
      <c r="G47" s="201">
        <f t="shared" si="11"/>
        <v>11.681063349999999</v>
      </c>
      <c r="H47" s="199">
        <f t="shared" si="7"/>
        <v>0</v>
      </c>
      <c r="I47" s="199">
        <f t="shared" si="8"/>
        <v>1798.8837558999999</v>
      </c>
      <c r="J47" s="199">
        <f t="shared" si="10"/>
        <v>1798.8837558999999</v>
      </c>
      <c r="L47" s="9"/>
      <c r="N47" s="254"/>
    </row>
    <row r="48" spans="1:14" ht="25.5">
      <c r="A48" s="78" t="s">
        <v>98</v>
      </c>
      <c r="B48" s="151" t="s">
        <v>89</v>
      </c>
      <c r="C48" s="158" t="s">
        <v>51</v>
      </c>
      <c r="D48" s="201">
        <v>23.5</v>
      </c>
      <c r="E48" s="201">
        <f>286.08*K1</f>
        <v>299.70570431999994</v>
      </c>
      <c r="F48" s="201">
        <f>206.48*K1</f>
        <v>216.31443591999997</v>
      </c>
      <c r="G48" s="201">
        <f t="shared" si="11"/>
        <v>516.0201402399999</v>
      </c>
      <c r="H48" s="199">
        <f t="shared" si="7"/>
        <v>7043.084051519999</v>
      </c>
      <c r="I48" s="199">
        <f t="shared" si="8"/>
        <v>5083.38924412</v>
      </c>
      <c r="J48" s="199">
        <f t="shared" si="10"/>
        <v>12126.473295639998</v>
      </c>
      <c r="L48" s="9"/>
      <c r="N48" s="254"/>
    </row>
    <row r="49" spans="1:14" ht="12.75">
      <c r="A49" s="155" t="s">
        <v>100</v>
      </c>
      <c r="B49" s="153" t="s">
        <v>99</v>
      </c>
      <c r="C49" s="80"/>
      <c r="D49" s="199"/>
      <c r="E49" s="199"/>
      <c r="F49" s="199"/>
      <c r="G49" s="199"/>
      <c r="H49" s="199"/>
      <c r="I49" s="199"/>
      <c r="J49" s="199"/>
      <c r="L49" s="9"/>
      <c r="N49" s="254"/>
    </row>
    <row r="50" spans="1:14" ht="25.5">
      <c r="A50" s="78" t="s">
        <v>102</v>
      </c>
      <c r="B50" s="162" t="s">
        <v>85</v>
      </c>
      <c r="C50" s="159" t="s">
        <v>51</v>
      </c>
      <c r="D50" s="200">
        <v>28.8</v>
      </c>
      <c r="E50" s="201">
        <f>6.18*K1</f>
        <v>6.474347219999999</v>
      </c>
      <c r="F50" s="201">
        <f>0.17*K1</f>
        <v>0.17809693</v>
      </c>
      <c r="G50" s="201">
        <f>E50+F50</f>
        <v>6.652444149999999</v>
      </c>
      <c r="H50" s="199">
        <f t="shared" si="7"/>
        <v>186.46119993599999</v>
      </c>
      <c r="I50" s="199">
        <f t="shared" si="8"/>
        <v>5.129191584</v>
      </c>
      <c r="J50" s="199">
        <f t="shared" si="10"/>
        <v>191.59039152</v>
      </c>
      <c r="L50" s="9"/>
      <c r="N50" s="254"/>
    </row>
    <row r="51" spans="1:14" ht="12.75">
      <c r="A51" s="78" t="s">
        <v>103</v>
      </c>
      <c r="B51" s="152" t="s">
        <v>46</v>
      </c>
      <c r="C51" s="159" t="s">
        <v>51</v>
      </c>
      <c r="D51" s="200">
        <v>1.5</v>
      </c>
      <c r="E51" s="208">
        <f>79.85*K1</f>
        <v>83.65317565</v>
      </c>
      <c r="F51" s="208">
        <f>17.94*K1</f>
        <v>18.79446426</v>
      </c>
      <c r="G51" s="201">
        <f>E51+F51</f>
        <v>102.44763990999999</v>
      </c>
      <c r="H51" s="199">
        <f t="shared" si="7"/>
        <v>125.479763475</v>
      </c>
      <c r="I51" s="199">
        <f t="shared" si="8"/>
        <v>28.191696390000004</v>
      </c>
      <c r="J51" s="199">
        <f t="shared" si="10"/>
        <v>153.671459865</v>
      </c>
      <c r="L51" s="9"/>
      <c r="N51" s="254"/>
    </row>
    <row r="52" spans="1:14" ht="12.75">
      <c r="A52" s="78" t="s">
        <v>104</v>
      </c>
      <c r="B52" s="152" t="s">
        <v>71</v>
      </c>
      <c r="C52" s="159" t="s">
        <v>82</v>
      </c>
      <c r="D52" s="200">
        <v>260</v>
      </c>
      <c r="E52" s="200">
        <f>3.71*K1</f>
        <v>3.8867035899999998</v>
      </c>
      <c r="F52" s="200">
        <f>1.51*K1</f>
        <v>1.58191979</v>
      </c>
      <c r="G52" s="201">
        <f>E52+F52</f>
        <v>5.4686233799999995</v>
      </c>
      <c r="H52" s="199">
        <f t="shared" si="7"/>
        <v>1010.5429333999999</v>
      </c>
      <c r="I52" s="199">
        <f t="shared" si="8"/>
        <v>411.2991454</v>
      </c>
      <c r="J52" s="199">
        <f t="shared" si="10"/>
        <v>1421.8420787999999</v>
      </c>
      <c r="L52" s="9"/>
      <c r="N52" s="254"/>
    </row>
    <row r="53" spans="1:14" ht="25.5">
      <c r="A53" s="78" t="s">
        <v>105</v>
      </c>
      <c r="B53" s="156" t="s">
        <v>101</v>
      </c>
      <c r="C53" s="157" t="s">
        <v>51</v>
      </c>
      <c r="D53" s="198">
        <v>240</v>
      </c>
      <c r="E53" s="198">
        <f>33.34*K1</f>
        <v>34.92795086</v>
      </c>
      <c r="F53" s="198">
        <f>29.7*K1</f>
        <v>31.114581299999998</v>
      </c>
      <c r="G53" s="201">
        <f>E53+F53</f>
        <v>66.04253216000001</v>
      </c>
      <c r="H53" s="199">
        <f t="shared" si="7"/>
        <v>8382.7082064</v>
      </c>
      <c r="I53" s="199">
        <f t="shared" si="8"/>
        <v>7467.499511999999</v>
      </c>
      <c r="J53" s="199">
        <f t="shared" si="10"/>
        <v>15850.2077184</v>
      </c>
      <c r="K53" s="1"/>
      <c r="L53" s="9"/>
      <c r="N53" s="254"/>
    </row>
    <row r="54" spans="1:14" ht="12.75">
      <c r="A54" s="72">
        <v>3</v>
      </c>
      <c r="B54" s="77" t="s">
        <v>106</v>
      </c>
      <c r="C54" s="75"/>
      <c r="D54" s="205"/>
      <c r="E54" s="205"/>
      <c r="F54" s="205"/>
      <c r="G54" s="205"/>
      <c r="H54" s="205"/>
      <c r="I54" s="205"/>
      <c r="J54" s="206"/>
      <c r="L54" s="9"/>
      <c r="N54" s="254"/>
    </row>
    <row r="55" spans="1:14" ht="12.75">
      <c r="A55" s="155" t="s">
        <v>108</v>
      </c>
      <c r="B55" s="153" t="s">
        <v>107</v>
      </c>
      <c r="C55" s="80"/>
      <c r="D55" s="199"/>
      <c r="E55" s="199"/>
      <c r="F55" s="199"/>
      <c r="G55" s="199"/>
      <c r="H55" s="199"/>
      <c r="I55" s="199"/>
      <c r="J55" s="199"/>
      <c r="L55" s="9"/>
      <c r="N55" s="254"/>
    </row>
    <row r="56" spans="1:14" ht="12.75">
      <c r="A56" s="78" t="s">
        <v>114</v>
      </c>
      <c r="B56" s="162" t="s">
        <v>109</v>
      </c>
      <c r="C56" s="159" t="s">
        <v>50</v>
      </c>
      <c r="D56" s="200">
        <v>4547.06</v>
      </c>
      <c r="E56" s="200">
        <f>69.03*K1</f>
        <v>72.31782987</v>
      </c>
      <c r="F56" s="200">
        <f>38.54*K1</f>
        <v>40.37562165999999</v>
      </c>
      <c r="G56" s="200">
        <f>E56+F56</f>
        <v>112.69345152999999</v>
      </c>
      <c r="H56" s="199">
        <f t="shared" si="7"/>
        <v>328833.51148868224</v>
      </c>
      <c r="I56" s="199">
        <f t="shared" si="8"/>
        <v>183590.3742253196</v>
      </c>
      <c r="J56" s="199">
        <f t="shared" si="10"/>
        <v>512423.88571400184</v>
      </c>
      <c r="L56" s="9"/>
      <c r="N56" s="254"/>
    </row>
    <row r="57" spans="1:14" ht="25.5">
      <c r="A57" s="78" t="s">
        <v>115</v>
      </c>
      <c r="B57" s="162" t="s">
        <v>110</v>
      </c>
      <c r="C57" s="159" t="s">
        <v>50</v>
      </c>
      <c r="D57" s="200">
        <v>206.48</v>
      </c>
      <c r="E57" s="200">
        <f>45.5*K1</f>
        <v>47.6671195</v>
      </c>
      <c r="F57" s="200">
        <f>64.23*K1</f>
        <v>67.28921067</v>
      </c>
      <c r="G57" s="200">
        <f aca="true" t="shared" si="12" ref="G57:G62">E57+F57</f>
        <v>114.95633017</v>
      </c>
      <c r="H57" s="199">
        <f t="shared" si="7"/>
        <v>9842.306834359999</v>
      </c>
      <c r="I57" s="199">
        <f t="shared" si="8"/>
        <v>13893.876219141599</v>
      </c>
      <c r="J57" s="199">
        <f t="shared" si="10"/>
        <v>23736.183053501598</v>
      </c>
      <c r="L57" s="9"/>
      <c r="N57" s="254"/>
    </row>
    <row r="58" spans="1:14" ht="12.75">
      <c r="A58" s="78" t="s">
        <v>116</v>
      </c>
      <c r="B58" s="152" t="s">
        <v>71</v>
      </c>
      <c r="C58" s="159" t="s">
        <v>82</v>
      </c>
      <c r="D58" s="200">
        <v>26711.5</v>
      </c>
      <c r="E58" s="200">
        <f>3.71*K1</f>
        <v>3.8867035899999998</v>
      </c>
      <c r="F58" s="200">
        <f>1.51*K1</f>
        <v>1.58191979</v>
      </c>
      <c r="G58" s="200">
        <f t="shared" si="12"/>
        <v>5.4686233799999995</v>
      </c>
      <c r="H58" s="199">
        <f t="shared" si="7"/>
        <v>103819.682944285</v>
      </c>
      <c r="I58" s="199">
        <f t="shared" si="8"/>
        <v>42255.450470585</v>
      </c>
      <c r="J58" s="199">
        <f t="shared" si="10"/>
        <v>146075.13341487</v>
      </c>
      <c r="L58" s="9"/>
      <c r="N58" s="254"/>
    </row>
    <row r="59" spans="1:14" ht="12.75">
      <c r="A59" s="78" t="s">
        <v>117</v>
      </c>
      <c r="B59" s="152" t="s">
        <v>87</v>
      </c>
      <c r="C59" s="159" t="s">
        <v>82</v>
      </c>
      <c r="D59" s="200">
        <v>5174.5</v>
      </c>
      <c r="E59" s="200">
        <f>3.65*K1</f>
        <v>3.8238458499999997</v>
      </c>
      <c r="F59" s="200">
        <f>1.51*K1</f>
        <v>1.58191979</v>
      </c>
      <c r="G59" s="200">
        <f t="shared" si="12"/>
        <v>5.405765639999999</v>
      </c>
      <c r="H59" s="199">
        <f t="shared" si="7"/>
        <v>19786.490350825</v>
      </c>
      <c r="I59" s="199">
        <f t="shared" si="8"/>
        <v>8185.643953355</v>
      </c>
      <c r="J59" s="199">
        <f t="shared" si="10"/>
        <v>27972.13430418</v>
      </c>
      <c r="L59" s="9"/>
      <c r="N59" s="254"/>
    </row>
    <row r="60" spans="1:14" ht="12.75">
      <c r="A60" s="78" t="s">
        <v>118</v>
      </c>
      <c r="B60" s="152" t="s">
        <v>70</v>
      </c>
      <c r="C60" s="164" t="s">
        <v>51</v>
      </c>
      <c r="D60" s="209">
        <v>355.04</v>
      </c>
      <c r="E60" s="209">
        <f>267.59*K1</f>
        <v>280.33504410999996</v>
      </c>
      <c r="F60" s="209">
        <v>0</v>
      </c>
      <c r="G60" s="200">
        <f t="shared" si="12"/>
        <v>280.33504410999996</v>
      </c>
      <c r="H60" s="199">
        <f t="shared" si="7"/>
        <v>99530.15406081438</v>
      </c>
      <c r="I60" s="199">
        <f t="shared" si="8"/>
        <v>0</v>
      </c>
      <c r="J60" s="199">
        <f t="shared" si="10"/>
        <v>99530.15406081438</v>
      </c>
      <c r="K60" s="1"/>
      <c r="L60" s="9"/>
      <c r="N60" s="254"/>
    </row>
    <row r="61" spans="1:14" ht="25.5">
      <c r="A61" s="78" t="s">
        <v>119</v>
      </c>
      <c r="B61" s="166" t="s">
        <v>111</v>
      </c>
      <c r="C61" s="168" t="s">
        <v>51</v>
      </c>
      <c r="D61" s="197">
        <v>355.04</v>
      </c>
      <c r="E61" s="255">
        <v>0</v>
      </c>
      <c r="F61" s="255">
        <f>69.56*K1</f>
        <v>72.87307324</v>
      </c>
      <c r="G61" s="200">
        <f t="shared" si="12"/>
        <v>72.87307324</v>
      </c>
      <c r="H61" s="199">
        <f t="shared" si="7"/>
        <v>0</v>
      </c>
      <c r="I61" s="199">
        <f t="shared" si="8"/>
        <v>25872.8559231296</v>
      </c>
      <c r="J61" s="199">
        <f t="shared" si="10"/>
        <v>25872.8559231296</v>
      </c>
      <c r="K61" s="1"/>
      <c r="L61" s="9"/>
      <c r="N61" s="254"/>
    </row>
    <row r="62" spans="1:14" ht="25.5">
      <c r="A62" s="78" t="s">
        <v>120</v>
      </c>
      <c r="B62" s="166" t="s">
        <v>112</v>
      </c>
      <c r="C62" s="168" t="s">
        <v>50</v>
      </c>
      <c r="D62" s="197">
        <v>1925</v>
      </c>
      <c r="E62" s="255">
        <f>77.63*K1</f>
        <v>81.32743926999999</v>
      </c>
      <c r="F62" s="255">
        <f>24.37*K1</f>
        <v>25.53071873</v>
      </c>
      <c r="G62" s="200">
        <f t="shared" si="12"/>
        <v>106.85815799999999</v>
      </c>
      <c r="H62" s="199">
        <f t="shared" si="7"/>
        <v>156555.32059474997</v>
      </c>
      <c r="I62" s="199">
        <f t="shared" si="8"/>
        <v>49146.63355525</v>
      </c>
      <c r="J62" s="199">
        <f t="shared" si="10"/>
        <v>205701.95414999998</v>
      </c>
      <c r="L62" s="9"/>
      <c r="N62" s="254"/>
    </row>
    <row r="63" spans="1:14" ht="25.5">
      <c r="A63" s="78" t="s">
        <v>121</v>
      </c>
      <c r="B63" s="167" t="s">
        <v>113</v>
      </c>
      <c r="C63" s="168" t="s">
        <v>50</v>
      </c>
      <c r="D63" s="197">
        <v>1281</v>
      </c>
      <c r="E63" s="255">
        <v>30.61</v>
      </c>
      <c r="F63" s="255">
        <v>85.81</v>
      </c>
      <c r="G63" s="200">
        <f>E63+F63</f>
        <v>116.42</v>
      </c>
      <c r="H63" s="199">
        <f t="shared" si="7"/>
        <v>39211.409999999996</v>
      </c>
      <c r="I63" s="199">
        <f t="shared" si="8"/>
        <v>109922.61</v>
      </c>
      <c r="J63" s="199">
        <f t="shared" si="10"/>
        <v>149134.02</v>
      </c>
      <c r="K63" s="1"/>
      <c r="L63" s="9"/>
      <c r="N63" s="254"/>
    </row>
    <row r="64" spans="1:14" ht="12.75">
      <c r="A64" s="155" t="s">
        <v>122</v>
      </c>
      <c r="B64" s="153" t="s">
        <v>123</v>
      </c>
      <c r="C64" s="80"/>
      <c r="D64" s="199"/>
      <c r="E64" s="199"/>
      <c r="F64" s="199"/>
      <c r="G64" s="199"/>
      <c r="H64" s="199"/>
      <c r="I64" s="199"/>
      <c r="J64" s="199"/>
      <c r="L64" s="9"/>
      <c r="N64" s="254"/>
    </row>
    <row r="65" spans="1:14" ht="24">
      <c r="A65" s="78" t="s">
        <v>125</v>
      </c>
      <c r="B65" s="79" t="s">
        <v>124</v>
      </c>
      <c r="C65" s="159" t="s">
        <v>82</v>
      </c>
      <c r="D65" s="211">
        <v>32179</v>
      </c>
      <c r="E65" s="201">
        <f>13.23*K1</f>
        <v>13.86013167</v>
      </c>
      <c r="F65" s="201">
        <v>0</v>
      </c>
      <c r="G65" s="201">
        <f>E65+F65</f>
        <v>13.86013167</v>
      </c>
      <c r="H65" s="199">
        <f t="shared" si="7"/>
        <v>446005.17700893</v>
      </c>
      <c r="I65" s="199">
        <f t="shared" si="8"/>
        <v>0</v>
      </c>
      <c r="J65" s="199">
        <f t="shared" si="10"/>
        <v>446005.17700893</v>
      </c>
      <c r="K65" s="1"/>
      <c r="L65" s="9"/>
      <c r="N65" s="254"/>
    </row>
    <row r="66" spans="1:14" ht="12.75">
      <c r="A66" s="72">
        <v>4</v>
      </c>
      <c r="B66" s="77" t="s">
        <v>126</v>
      </c>
      <c r="C66" s="75"/>
      <c r="D66" s="205"/>
      <c r="E66" s="205"/>
      <c r="F66" s="205"/>
      <c r="G66" s="205"/>
      <c r="H66" s="205"/>
      <c r="I66" s="205"/>
      <c r="J66" s="206"/>
      <c r="L66" s="9"/>
      <c r="N66" s="254"/>
    </row>
    <row r="67" spans="1:14" ht="12.75">
      <c r="A67" s="226" t="s">
        <v>133</v>
      </c>
      <c r="B67" s="227" t="s">
        <v>127</v>
      </c>
      <c r="C67" s="228" t="s">
        <v>51</v>
      </c>
      <c r="D67" s="229">
        <v>30</v>
      </c>
      <c r="E67" s="230">
        <f>268.41*K1</f>
        <v>281.19409989</v>
      </c>
      <c r="F67" s="230">
        <f>219.17*K1</f>
        <v>229.60884792999997</v>
      </c>
      <c r="G67" s="230">
        <f aca="true" t="shared" si="13" ref="G67:G72">E67+F67</f>
        <v>510.80294782</v>
      </c>
      <c r="H67" s="231">
        <f t="shared" si="7"/>
        <v>8435.8229967</v>
      </c>
      <c r="I67" s="231">
        <f t="shared" si="8"/>
        <v>6888.265437899999</v>
      </c>
      <c r="J67" s="231">
        <f t="shared" si="10"/>
        <v>15324.088434599998</v>
      </c>
      <c r="L67" s="9"/>
      <c r="N67" s="254"/>
    </row>
    <row r="68" spans="1:14" ht="25.5">
      <c r="A68" s="78" t="s">
        <v>134</v>
      </c>
      <c r="B68" s="151" t="s">
        <v>128</v>
      </c>
      <c r="C68" s="158" t="s">
        <v>50</v>
      </c>
      <c r="D68" s="200">
        <v>1226.69</v>
      </c>
      <c r="E68" s="201">
        <f>26.2*K1</f>
        <v>27.447879799999995</v>
      </c>
      <c r="F68" s="201">
        <f>21.03*K1</f>
        <v>22.03163787</v>
      </c>
      <c r="G68" s="230">
        <f t="shared" si="13"/>
        <v>49.47951766999999</v>
      </c>
      <c r="H68" s="199">
        <f>D68*E68</f>
        <v>33670.039671861996</v>
      </c>
      <c r="I68" s="199">
        <f>D68*F68</f>
        <v>27025.9898587503</v>
      </c>
      <c r="J68" s="199">
        <f>I68+H68</f>
        <v>60696.0295306123</v>
      </c>
      <c r="L68" s="9"/>
      <c r="N68" s="254"/>
    </row>
    <row r="69" spans="1:14" ht="25.5">
      <c r="A69" s="78" t="s">
        <v>135</v>
      </c>
      <c r="B69" s="151" t="s">
        <v>129</v>
      </c>
      <c r="C69" s="158" t="s">
        <v>50</v>
      </c>
      <c r="D69" s="200">
        <v>2652.02</v>
      </c>
      <c r="E69" s="201">
        <f>33.13*K1</f>
        <v>34.70794877</v>
      </c>
      <c r="F69" s="201">
        <f>21.5*K1</f>
        <v>22.5240235</v>
      </c>
      <c r="G69" s="230">
        <f t="shared" si="13"/>
        <v>57.23197227</v>
      </c>
      <c r="H69" s="199">
        <f>D69*E69</f>
        <v>92046.1742970154</v>
      </c>
      <c r="I69" s="199">
        <f>D69*F69</f>
        <v>59734.160802469996</v>
      </c>
      <c r="J69" s="199">
        <f>I69+H69</f>
        <v>151780.3350994854</v>
      </c>
      <c r="K69" s="1"/>
      <c r="L69" s="9"/>
      <c r="N69" s="254"/>
    </row>
    <row r="70" spans="1:14" ht="25.5">
      <c r="A70" s="78" t="s">
        <v>136</v>
      </c>
      <c r="B70" s="151" t="s">
        <v>130</v>
      </c>
      <c r="C70" s="158" t="s">
        <v>50</v>
      </c>
      <c r="D70" s="200">
        <v>57.56</v>
      </c>
      <c r="E70" s="201">
        <f>65.84*K1</f>
        <v>68.97589336</v>
      </c>
      <c r="F70" s="201">
        <f>39.45*K1</f>
        <v>41.32896405</v>
      </c>
      <c r="G70" s="230">
        <f t="shared" si="13"/>
        <v>110.30485741000001</v>
      </c>
      <c r="H70" s="199">
        <f>D70*E70</f>
        <v>3970.2524218016</v>
      </c>
      <c r="I70" s="199">
        <f>D70*F70</f>
        <v>2378.8951707180004</v>
      </c>
      <c r="J70" s="199">
        <f>I70+H70</f>
        <v>6349.147592519601</v>
      </c>
      <c r="L70" s="9"/>
      <c r="N70" s="254"/>
    </row>
    <row r="71" spans="1:14" ht="38.25">
      <c r="A71" s="78" t="s">
        <v>137</v>
      </c>
      <c r="B71" s="162" t="s">
        <v>131</v>
      </c>
      <c r="C71" s="157" t="s">
        <v>50</v>
      </c>
      <c r="D71" s="200">
        <v>496.8</v>
      </c>
      <c r="E71" s="208">
        <f>92.89*K1</f>
        <v>97.31425780999999</v>
      </c>
      <c r="F71" s="208">
        <v>0</v>
      </c>
      <c r="G71" s="230">
        <f t="shared" si="13"/>
        <v>97.31425780999999</v>
      </c>
      <c r="H71" s="199">
        <f>D71*E71</f>
        <v>48345.723280007995</v>
      </c>
      <c r="I71" s="199">
        <f>D71*F71</f>
        <v>0</v>
      </c>
      <c r="J71" s="199">
        <f>I71+H71</f>
        <v>48345.723280007995</v>
      </c>
      <c r="K71" s="1"/>
      <c r="L71" s="9"/>
      <c r="N71" s="254"/>
    </row>
    <row r="72" spans="1:14" ht="12.75">
      <c r="A72" s="78" t="s">
        <v>138</v>
      </c>
      <c r="B72" s="151" t="s">
        <v>132</v>
      </c>
      <c r="C72" s="158" t="s">
        <v>50</v>
      </c>
      <c r="D72" s="207">
        <v>100</v>
      </c>
      <c r="E72" s="201">
        <f>594.62*K1</f>
        <v>622.94115598</v>
      </c>
      <c r="F72" s="201">
        <f>46.08*K1</f>
        <v>48.274744319999996</v>
      </c>
      <c r="G72" s="230">
        <f t="shared" si="13"/>
        <v>671.2159002999999</v>
      </c>
      <c r="H72" s="199">
        <f>D72*E72</f>
        <v>62294.115598</v>
      </c>
      <c r="I72" s="199">
        <f>D72*F72</f>
        <v>4827.474432</v>
      </c>
      <c r="J72" s="199">
        <f>I72+H72</f>
        <v>67121.59002999999</v>
      </c>
      <c r="K72" s="1"/>
      <c r="L72" s="9"/>
      <c r="N72" s="254"/>
    </row>
    <row r="73" spans="1:14" ht="12.75">
      <c r="A73" s="72">
        <v>5</v>
      </c>
      <c r="B73" s="77" t="s">
        <v>139</v>
      </c>
      <c r="C73" s="171"/>
      <c r="D73" s="205"/>
      <c r="E73" s="205"/>
      <c r="F73" s="205"/>
      <c r="G73" s="205"/>
      <c r="H73" s="205"/>
      <c r="I73" s="205"/>
      <c r="J73" s="206"/>
      <c r="K73" s="1"/>
      <c r="L73" s="9"/>
      <c r="N73" s="254"/>
    </row>
    <row r="74" spans="1:14" ht="36">
      <c r="A74" s="78" t="s">
        <v>140</v>
      </c>
      <c r="B74" s="79" t="s">
        <v>141</v>
      </c>
      <c r="C74" s="159" t="s">
        <v>50</v>
      </c>
      <c r="D74" s="200">
        <v>206.48</v>
      </c>
      <c r="E74" s="200">
        <f>33.92*K1</f>
        <v>35.53557568</v>
      </c>
      <c r="F74" s="200">
        <f>13.22*K1</f>
        <v>13.84965538</v>
      </c>
      <c r="G74" s="200">
        <f>E74+F74</f>
        <v>49.38523106</v>
      </c>
      <c r="H74" s="199">
        <f>D74*E74</f>
        <v>7337.3856664064</v>
      </c>
      <c r="I74" s="199">
        <f>D74*F74</f>
        <v>2859.6768428624</v>
      </c>
      <c r="J74" s="199">
        <f>I74+H74</f>
        <v>10197.062509268799</v>
      </c>
      <c r="K74" s="1"/>
      <c r="L74" s="9"/>
      <c r="N74" s="254"/>
    </row>
    <row r="75" spans="1:14" ht="12.75">
      <c r="A75" s="72">
        <v>6</v>
      </c>
      <c r="B75" s="77" t="s">
        <v>142</v>
      </c>
      <c r="C75" s="171"/>
      <c r="D75" s="205"/>
      <c r="E75" s="205"/>
      <c r="F75" s="205"/>
      <c r="G75" s="205"/>
      <c r="H75" s="205"/>
      <c r="I75" s="205"/>
      <c r="J75" s="206"/>
      <c r="K75" s="246"/>
      <c r="L75" s="9"/>
      <c r="N75" s="254"/>
    </row>
    <row r="76" spans="1:14" ht="25.5">
      <c r="A76" s="78" t="s">
        <v>147</v>
      </c>
      <c r="B76" s="152" t="s">
        <v>143</v>
      </c>
      <c r="C76" s="159" t="s">
        <v>81</v>
      </c>
      <c r="D76" s="200">
        <v>143.53</v>
      </c>
      <c r="E76" s="201">
        <f>34.98*K1</f>
        <v>36.64606241999999</v>
      </c>
      <c r="F76" s="201">
        <f>5.14*K1</f>
        <v>5.384813059999999</v>
      </c>
      <c r="G76" s="201">
        <f>E76+F76</f>
        <v>42.03087547999999</v>
      </c>
      <c r="H76" s="199">
        <f aca="true" t="shared" si="14" ref="H76:H85">D76*E76</f>
        <v>5259.809339142599</v>
      </c>
      <c r="I76" s="199">
        <f aca="true" t="shared" si="15" ref="I76:I85">D76*F76</f>
        <v>772.8822185017999</v>
      </c>
      <c r="J76" s="199">
        <f aca="true" t="shared" si="16" ref="J76:J85">I76+H76</f>
        <v>6032.691557644399</v>
      </c>
      <c r="L76" s="9"/>
      <c r="N76" s="254"/>
    </row>
    <row r="77" spans="1:14" ht="25.5">
      <c r="A77" s="78" t="s">
        <v>148</v>
      </c>
      <c r="B77" s="152" t="s">
        <v>144</v>
      </c>
      <c r="C77" s="159" t="s">
        <v>50</v>
      </c>
      <c r="D77" s="200">
        <v>2934.34</v>
      </c>
      <c r="E77" s="201">
        <f>74.76*K1</f>
        <v>78.32074404</v>
      </c>
      <c r="F77" s="201">
        <f>11.18*K1</f>
        <v>11.71249222</v>
      </c>
      <c r="G77" s="201">
        <f aca="true" t="shared" si="17" ref="G77:G85">E77+F77</f>
        <v>90.03323626</v>
      </c>
      <c r="H77" s="199">
        <f t="shared" si="14"/>
        <v>229819.6920663336</v>
      </c>
      <c r="I77" s="199">
        <f t="shared" si="15"/>
        <v>34368.4344208348</v>
      </c>
      <c r="J77" s="199">
        <f t="shared" si="16"/>
        <v>264188.1264871684</v>
      </c>
      <c r="L77" s="9"/>
      <c r="N77" s="254"/>
    </row>
    <row r="78" spans="1:14" ht="12.75">
      <c r="A78" s="78" t="s">
        <v>149</v>
      </c>
      <c r="B78" s="152" t="s">
        <v>1061</v>
      </c>
      <c r="C78" s="159" t="s">
        <v>81</v>
      </c>
      <c r="D78" s="200">
        <v>324</v>
      </c>
      <c r="E78" s="201">
        <f>21.25*K1</f>
        <v>22.26211625</v>
      </c>
      <c r="F78" s="201">
        <f>32.35*K1</f>
        <v>33.89079815</v>
      </c>
      <c r="G78" s="201">
        <f t="shared" si="17"/>
        <v>56.1529144</v>
      </c>
      <c r="H78" s="199">
        <f t="shared" si="14"/>
        <v>7212.925665</v>
      </c>
      <c r="I78" s="199">
        <f t="shared" si="15"/>
        <v>10980.6186006</v>
      </c>
      <c r="J78" s="199">
        <f t="shared" si="16"/>
        <v>18193.5442656</v>
      </c>
      <c r="L78" s="9"/>
      <c r="N78" s="254"/>
    </row>
    <row r="79" spans="1:14" ht="12.75">
      <c r="A79" s="78" t="s">
        <v>150</v>
      </c>
      <c r="B79" s="152" t="s">
        <v>1066</v>
      </c>
      <c r="C79" s="159" t="s">
        <v>81</v>
      </c>
      <c r="D79" s="200">
        <v>392</v>
      </c>
      <c r="E79" s="201">
        <f>21.25*K1</f>
        <v>22.26211625</v>
      </c>
      <c r="F79" s="201">
        <f>32.35*K1</f>
        <v>33.89079815</v>
      </c>
      <c r="G79" s="201">
        <f t="shared" si="17"/>
        <v>56.1529144</v>
      </c>
      <c r="H79" s="199">
        <f t="shared" si="14"/>
        <v>8726.74957</v>
      </c>
      <c r="I79" s="199">
        <f t="shared" si="15"/>
        <v>13285.192874800001</v>
      </c>
      <c r="J79" s="199">
        <f t="shared" si="16"/>
        <v>22011.9424448</v>
      </c>
      <c r="L79" s="9"/>
      <c r="N79" s="254"/>
    </row>
    <row r="80" spans="1:14" ht="12.75">
      <c r="A80" s="78" t="s">
        <v>151</v>
      </c>
      <c r="B80" s="152" t="s">
        <v>1067</v>
      </c>
      <c r="C80" s="159" t="s">
        <v>81</v>
      </c>
      <c r="D80" s="200">
        <v>254</v>
      </c>
      <c r="E80" s="201">
        <f>21.25*K1</f>
        <v>22.26211625</v>
      </c>
      <c r="F80" s="201">
        <f>32.35*K1</f>
        <v>33.89079815</v>
      </c>
      <c r="G80" s="201">
        <f t="shared" si="17"/>
        <v>56.1529144</v>
      </c>
      <c r="H80" s="199">
        <f t="shared" si="14"/>
        <v>5654.5775275</v>
      </c>
      <c r="I80" s="199">
        <f t="shared" si="15"/>
        <v>8608.262730100001</v>
      </c>
      <c r="J80" s="199">
        <f t="shared" si="16"/>
        <v>14262.8402576</v>
      </c>
      <c r="L80" s="9"/>
      <c r="N80" s="254"/>
    </row>
    <row r="81" spans="1:14" ht="12.75">
      <c r="A81" s="78" t="s">
        <v>1062</v>
      </c>
      <c r="B81" s="152" t="s">
        <v>1068</v>
      </c>
      <c r="C81" s="159" t="s">
        <v>81</v>
      </c>
      <c r="D81" s="200">
        <v>700</v>
      </c>
      <c r="E81" s="201">
        <f>21.25*K1</f>
        <v>22.26211625</v>
      </c>
      <c r="F81" s="201">
        <f>32.35*K1</f>
        <v>33.89079815</v>
      </c>
      <c r="G81" s="201">
        <f t="shared" si="17"/>
        <v>56.1529144</v>
      </c>
      <c r="H81" s="199">
        <f t="shared" si="14"/>
        <v>15583.481375</v>
      </c>
      <c r="I81" s="199">
        <f t="shared" si="15"/>
        <v>23723.558705000003</v>
      </c>
      <c r="J81" s="199">
        <f t="shared" si="16"/>
        <v>39307.040080000006</v>
      </c>
      <c r="L81" s="9"/>
      <c r="N81" s="254"/>
    </row>
    <row r="82" spans="1:14" ht="12.75">
      <c r="A82" s="78" t="s">
        <v>1063</v>
      </c>
      <c r="B82" s="152" t="s">
        <v>1069</v>
      </c>
      <c r="C82" s="159" t="s">
        <v>81</v>
      </c>
      <c r="D82" s="200">
        <v>68</v>
      </c>
      <c r="E82" s="201">
        <f>21.25*K1</f>
        <v>22.26211625</v>
      </c>
      <c r="F82" s="201">
        <f>32.35*K1</f>
        <v>33.89079815</v>
      </c>
      <c r="G82" s="201">
        <f t="shared" si="17"/>
        <v>56.1529144</v>
      </c>
      <c r="H82" s="199">
        <f t="shared" si="14"/>
        <v>1513.823905</v>
      </c>
      <c r="I82" s="199">
        <f t="shared" si="15"/>
        <v>2304.5742742</v>
      </c>
      <c r="J82" s="199">
        <f t="shared" si="16"/>
        <v>3818.3981792000004</v>
      </c>
      <c r="L82" s="9"/>
      <c r="N82" s="254"/>
    </row>
    <row r="83" spans="1:14" ht="38.25">
      <c r="A83" s="78" t="s">
        <v>1064</v>
      </c>
      <c r="B83" s="162" t="s">
        <v>145</v>
      </c>
      <c r="C83" s="159" t="s">
        <v>81</v>
      </c>
      <c r="D83" s="200">
        <v>30.44</v>
      </c>
      <c r="E83" s="201">
        <f>34.98*K1</f>
        <v>36.64606241999999</v>
      </c>
      <c r="F83" s="201">
        <f>5.14*K1</f>
        <v>5.384813059999999</v>
      </c>
      <c r="G83" s="201">
        <f t="shared" si="17"/>
        <v>42.03087547999999</v>
      </c>
      <c r="H83" s="199">
        <f t="shared" si="14"/>
        <v>1115.5061400647999</v>
      </c>
      <c r="I83" s="199">
        <f t="shared" si="15"/>
        <v>163.91370954639999</v>
      </c>
      <c r="J83" s="199">
        <f t="shared" si="16"/>
        <v>1279.4198496111999</v>
      </c>
      <c r="L83" s="9"/>
      <c r="N83" s="254"/>
    </row>
    <row r="84" spans="1:14" ht="25.5">
      <c r="A84" s="78" t="s">
        <v>1065</v>
      </c>
      <c r="B84" s="162" t="s">
        <v>146</v>
      </c>
      <c r="C84" s="159" t="s">
        <v>81</v>
      </c>
      <c r="D84" s="200">
        <v>20.79</v>
      </c>
      <c r="E84" s="201">
        <f>21.25*K1</f>
        <v>22.26211625</v>
      </c>
      <c r="F84" s="201">
        <f>32.35*K1</f>
        <v>33.89079815</v>
      </c>
      <c r="G84" s="201">
        <f t="shared" si="17"/>
        <v>56.1529144</v>
      </c>
      <c r="H84" s="199">
        <f t="shared" si="14"/>
        <v>462.8293968374999</v>
      </c>
      <c r="I84" s="199">
        <f t="shared" si="15"/>
        <v>704.5896935385</v>
      </c>
      <c r="J84" s="199">
        <f t="shared" si="16"/>
        <v>1167.419090376</v>
      </c>
      <c r="K84" s="1"/>
      <c r="L84" s="9"/>
      <c r="N84" s="254"/>
    </row>
    <row r="85" spans="1:14" ht="25.5">
      <c r="A85" s="78" t="s">
        <v>1070</v>
      </c>
      <c r="B85" s="162" t="s">
        <v>1071</v>
      </c>
      <c r="C85" s="159" t="s">
        <v>50</v>
      </c>
      <c r="D85" s="200">
        <v>118.1</v>
      </c>
      <c r="E85" s="201">
        <f>59.6*K1</f>
        <v>62.4386884</v>
      </c>
      <c r="F85" s="201">
        <f>25*K1</f>
        <v>26.190724999999997</v>
      </c>
      <c r="G85" s="201">
        <f t="shared" si="17"/>
        <v>88.62941339999999</v>
      </c>
      <c r="H85" s="199">
        <f t="shared" si="14"/>
        <v>7374.009100039999</v>
      </c>
      <c r="I85" s="199">
        <f t="shared" si="15"/>
        <v>3093.1246224999995</v>
      </c>
      <c r="J85" s="199">
        <f t="shared" si="16"/>
        <v>10467.133722539998</v>
      </c>
      <c r="K85" s="1"/>
      <c r="L85" s="9"/>
      <c r="N85" s="254"/>
    </row>
    <row r="86" spans="1:14" ht="12.75">
      <c r="A86" s="72">
        <v>7</v>
      </c>
      <c r="B86" s="77" t="s">
        <v>152</v>
      </c>
      <c r="C86" s="171"/>
      <c r="D86" s="205"/>
      <c r="E86" s="205"/>
      <c r="F86" s="205"/>
      <c r="G86" s="205"/>
      <c r="H86" s="205"/>
      <c r="I86" s="205"/>
      <c r="J86" s="206"/>
      <c r="K86" s="1"/>
      <c r="L86" s="9"/>
      <c r="N86" s="254"/>
    </row>
    <row r="87" spans="1:14" ht="38.25">
      <c r="A87" s="78" t="s">
        <v>156</v>
      </c>
      <c r="B87" s="162" t="s">
        <v>153</v>
      </c>
      <c r="C87" s="157" t="s">
        <v>49</v>
      </c>
      <c r="D87" s="200">
        <v>45</v>
      </c>
      <c r="E87" s="201">
        <f>623.22*K1</f>
        <v>652.90334538</v>
      </c>
      <c r="F87" s="201">
        <f>72.91*K1</f>
        <v>76.38263038999999</v>
      </c>
      <c r="G87" s="201">
        <f>E87+F87</f>
        <v>729.28597577</v>
      </c>
      <c r="H87" s="199">
        <f>D87*E87</f>
        <v>29380.6505421</v>
      </c>
      <c r="I87" s="199">
        <f>D87*F87</f>
        <v>3437.2183675499996</v>
      </c>
      <c r="J87" s="199">
        <f>G87*D87</f>
        <v>32817.86890965</v>
      </c>
      <c r="L87" s="9"/>
      <c r="N87" s="254"/>
    </row>
    <row r="88" spans="1:14" ht="25.5">
      <c r="A88" s="78" t="s">
        <v>157</v>
      </c>
      <c r="B88" s="151" t="s">
        <v>154</v>
      </c>
      <c r="C88" s="157" t="s">
        <v>49</v>
      </c>
      <c r="D88" s="200">
        <v>14</v>
      </c>
      <c r="E88" s="201">
        <f>1182.41*K1</f>
        <v>1238.72700589</v>
      </c>
      <c r="F88" s="201">
        <f>91.04*K1</f>
        <v>95.37614416</v>
      </c>
      <c r="G88" s="201">
        <f>E88+F88</f>
        <v>1334.10315005</v>
      </c>
      <c r="H88" s="199">
        <f>D88*E88</f>
        <v>17342.178082460003</v>
      </c>
      <c r="I88" s="199">
        <f>D88*F88</f>
        <v>1335.26601824</v>
      </c>
      <c r="J88" s="199">
        <f>G88*D88</f>
        <v>18677.444100700002</v>
      </c>
      <c r="L88" s="9"/>
      <c r="N88" s="254"/>
    </row>
    <row r="89" spans="1:14" ht="25.5">
      <c r="A89" s="78" t="s">
        <v>158</v>
      </c>
      <c r="B89" s="151" t="s">
        <v>155</v>
      </c>
      <c r="C89" s="157" t="s">
        <v>49</v>
      </c>
      <c r="D89" s="200">
        <v>6</v>
      </c>
      <c r="E89" s="201">
        <f>537.25*K1</f>
        <v>562.8386802499999</v>
      </c>
      <c r="F89" s="201">
        <f>38.54*K1</f>
        <v>40.37562165999999</v>
      </c>
      <c r="G89" s="201">
        <f aca="true" t="shared" si="18" ref="G89:G95">E89+F89</f>
        <v>603.2143019099999</v>
      </c>
      <c r="H89" s="199">
        <f>D89*E89</f>
        <v>3377.0320814999995</v>
      </c>
      <c r="I89" s="199">
        <f>D89*F89</f>
        <v>242.25372995999996</v>
      </c>
      <c r="J89" s="199">
        <f>I89+H89</f>
        <v>3619.2858114599994</v>
      </c>
      <c r="L89" s="9"/>
      <c r="N89" s="254"/>
    </row>
    <row r="90" spans="1:14" ht="12.75">
      <c r="A90" s="155" t="s">
        <v>160</v>
      </c>
      <c r="B90" s="153" t="s">
        <v>159</v>
      </c>
      <c r="C90" s="80"/>
      <c r="D90" s="199"/>
      <c r="E90" s="199"/>
      <c r="F90" s="199"/>
      <c r="G90" s="201"/>
      <c r="H90" s="199"/>
      <c r="I90" s="199"/>
      <c r="J90" s="199"/>
      <c r="L90" s="9"/>
      <c r="N90" s="254"/>
    </row>
    <row r="91" spans="1:14" ht="25.5">
      <c r="A91" s="78" t="s">
        <v>166</v>
      </c>
      <c r="B91" s="162" t="s">
        <v>161</v>
      </c>
      <c r="C91" s="159" t="s">
        <v>171</v>
      </c>
      <c r="D91" s="200">
        <v>45</v>
      </c>
      <c r="E91" s="200">
        <f>88.42*K1</f>
        <v>92.63135618</v>
      </c>
      <c r="F91" s="200">
        <f>36.17*K1</f>
        <v>37.89274093</v>
      </c>
      <c r="G91" s="201">
        <f t="shared" si="18"/>
        <v>130.52409711</v>
      </c>
      <c r="H91" s="199">
        <f>D91*E91</f>
        <v>4168.4110281</v>
      </c>
      <c r="I91" s="199">
        <f>D91*F91</f>
        <v>1705.17334185</v>
      </c>
      <c r="J91" s="199">
        <f>I91+H91</f>
        <v>5873.58436995</v>
      </c>
      <c r="L91" s="9"/>
      <c r="N91" s="254"/>
    </row>
    <row r="92" spans="1:14" ht="25.5">
      <c r="A92" s="78" t="s">
        <v>167</v>
      </c>
      <c r="B92" s="162" t="s">
        <v>162</v>
      </c>
      <c r="C92" s="159" t="s">
        <v>171</v>
      </c>
      <c r="D92" s="200">
        <v>14</v>
      </c>
      <c r="E92" s="200">
        <f>220.28*K1</f>
        <v>230.77171611999998</v>
      </c>
      <c r="F92" s="200">
        <f>48.22*K1</f>
        <v>50.516670379999994</v>
      </c>
      <c r="G92" s="201">
        <f t="shared" si="18"/>
        <v>281.2883865</v>
      </c>
      <c r="H92" s="199">
        <f>D92*E92</f>
        <v>3230.8040256799995</v>
      </c>
      <c r="I92" s="199">
        <f>D92*F92</f>
        <v>707.2333853199999</v>
      </c>
      <c r="J92" s="199">
        <f>I92+H92</f>
        <v>3938.0374109999993</v>
      </c>
      <c r="L92" s="9"/>
      <c r="N92" s="254"/>
    </row>
    <row r="93" spans="1:14" ht="25.5">
      <c r="A93" s="78" t="s">
        <v>168</v>
      </c>
      <c r="B93" s="151" t="s">
        <v>163</v>
      </c>
      <c r="C93" s="158" t="s">
        <v>50</v>
      </c>
      <c r="D93" s="200">
        <v>5.51</v>
      </c>
      <c r="E93" s="201">
        <f>644.11*K1</f>
        <v>674.7883151899999</v>
      </c>
      <c r="F93" s="201">
        <f>102.76*K1</f>
        <v>107.65435604</v>
      </c>
      <c r="G93" s="201">
        <f t="shared" si="18"/>
        <v>782.44267123</v>
      </c>
      <c r="H93" s="199">
        <f>D93*E93</f>
        <v>3718.0836166968993</v>
      </c>
      <c r="I93" s="199">
        <f>D93*F93</f>
        <v>593.1755017803999</v>
      </c>
      <c r="J93" s="199">
        <f>I93+H93</f>
        <v>4311.259118477299</v>
      </c>
      <c r="L93" s="9"/>
      <c r="N93" s="254"/>
    </row>
    <row r="94" spans="1:14" ht="25.5">
      <c r="A94" s="78" t="s">
        <v>169</v>
      </c>
      <c r="B94" s="151" t="s">
        <v>164</v>
      </c>
      <c r="C94" s="158" t="s">
        <v>172</v>
      </c>
      <c r="D94" s="200">
        <v>6</v>
      </c>
      <c r="E94" s="201">
        <f>90.2*K1</f>
        <v>94.49613579999999</v>
      </c>
      <c r="F94" s="201">
        <f>9.25*K1</f>
        <v>9.69056825</v>
      </c>
      <c r="G94" s="201">
        <f t="shared" si="18"/>
        <v>104.18670404999999</v>
      </c>
      <c r="H94" s="199">
        <f>D94*E94</f>
        <v>566.9768147999999</v>
      </c>
      <c r="I94" s="199">
        <f>D94*F94</f>
        <v>58.143409500000004</v>
      </c>
      <c r="J94" s="199">
        <f>I94+H94</f>
        <v>625.1202242999999</v>
      </c>
      <c r="L94" s="9"/>
      <c r="N94" s="254"/>
    </row>
    <row r="95" spans="1:14" ht="25.5">
      <c r="A95" s="78" t="s">
        <v>170</v>
      </c>
      <c r="B95" s="151" t="s">
        <v>165</v>
      </c>
      <c r="C95" s="158" t="s">
        <v>81</v>
      </c>
      <c r="D95" s="212">
        <v>21.6</v>
      </c>
      <c r="E95" s="201">
        <f>231.22*K1</f>
        <v>242.23277738</v>
      </c>
      <c r="F95" s="201">
        <v>0</v>
      </c>
      <c r="G95" s="201">
        <f t="shared" si="18"/>
        <v>242.23277738</v>
      </c>
      <c r="H95" s="199">
        <f>D95*E95</f>
        <v>5232.227991408</v>
      </c>
      <c r="I95" s="199">
        <f>D95*F95</f>
        <v>0</v>
      </c>
      <c r="J95" s="199">
        <f>I95+H95</f>
        <v>5232.227991408</v>
      </c>
      <c r="K95" s="250"/>
      <c r="L95" s="9"/>
      <c r="N95" s="254"/>
    </row>
    <row r="96" spans="1:14" ht="12.75">
      <c r="A96" s="72">
        <v>8</v>
      </c>
      <c r="B96" s="77" t="s">
        <v>173</v>
      </c>
      <c r="C96" s="171"/>
      <c r="D96" s="205"/>
      <c r="E96" s="205"/>
      <c r="F96" s="205"/>
      <c r="G96" s="205"/>
      <c r="H96" s="205"/>
      <c r="I96" s="205"/>
      <c r="J96" s="206"/>
      <c r="L96" s="9"/>
      <c r="N96" s="254"/>
    </row>
    <row r="97" spans="1:14" ht="12.75">
      <c r="A97" s="78" t="s">
        <v>183</v>
      </c>
      <c r="B97" s="152" t="s">
        <v>174</v>
      </c>
      <c r="C97" s="159" t="s">
        <v>50</v>
      </c>
      <c r="D97" s="213">
        <v>0.7</v>
      </c>
      <c r="E97" s="201">
        <f>894.57*K1</f>
        <v>937.1774745299999</v>
      </c>
      <c r="F97" s="201">
        <f>52.88*K1</f>
        <v>55.39862152</v>
      </c>
      <c r="G97" s="201">
        <f>E97+F97</f>
        <v>992.5760960499999</v>
      </c>
      <c r="H97" s="199">
        <f aca="true" t="shared" si="19" ref="H97:H105">D97*E97</f>
        <v>656.0242321709999</v>
      </c>
      <c r="I97" s="199">
        <f aca="true" t="shared" si="20" ref="I97:I105">D97*F97</f>
        <v>38.779035064</v>
      </c>
      <c r="J97" s="199">
        <f aca="true" t="shared" si="21" ref="J97:J105">I97+H97</f>
        <v>694.8032672349999</v>
      </c>
      <c r="L97" s="9"/>
      <c r="N97" s="254"/>
    </row>
    <row r="98" spans="1:14" ht="12.75">
      <c r="A98" s="78" t="s">
        <v>184</v>
      </c>
      <c r="B98" s="151" t="s">
        <v>175</v>
      </c>
      <c r="C98" s="158" t="s">
        <v>50</v>
      </c>
      <c r="D98" s="197">
        <v>57.55</v>
      </c>
      <c r="E98" s="201">
        <f>535.75*K1</f>
        <v>561.2672367499999</v>
      </c>
      <c r="F98" s="201">
        <f>39.66*K1</f>
        <v>41.54896613999999</v>
      </c>
      <c r="G98" s="201">
        <f aca="true" t="shared" si="22" ref="G98:G105">E98+F98</f>
        <v>602.8162028899999</v>
      </c>
      <c r="H98" s="199">
        <f t="shared" si="19"/>
        <v>32300.929474962493</v>
      </c>
      <c r="I98" s="199">
        <f t="shared" si="20"/>
        <v>2391.1430013569993</v>
      </c>
      <c r="J98" s="199">
        <f t="shared" si="21"/>
        <v>34692.072476319496</v>
      </c>
      <c r="L98" s="9"/>
      <c r="N98" s="254"/>
    </row>
    <row r="99" spans="1:14" ht="12.75">
      <c r="A99" s="78" t="s">
        <v>185</v>
      </c>
      <c r="B99" s="151" t="s">
        <v>176</v>
      </c>
      <c r="C99" s="172" t="s">
        <v>50</v>
      </c>
      <c r="D99" s="197">
        <v>520.75</v>
      </c>
      <c r="E99" s="201">
        <f>461.46*K1</f>
        <v>483.4388783399999</v>
      </c>
      <c r="F99" s="201">
        <f>39.66*K1</f>
        <v>41.54896613999999</v>
      </c>
      <c r="G99" s="201">
        <f t="shared" si="22"/>
        <v>524.9878444799999</v>
      </c>
      <c r="H99" s="199">
        <f t="shared" si="19"/>
        <v>251750.79589555497</v>
      </c>
      <c r="I99" s="199">
        <f t="shared" si="20"/>
        <v>21636.624117404994</v>
      </c>
      <c r="J99" s="199">
        <f t="shared" si="21"/>
        <v>273387.42001296</v>
      </c>
      <c r="L99" s="9"/>
      <c r="N99" s="254"/>
    </row>
    <row r="100" spans="1:14" ht="25.5">
      <c r="A100" s="78" t="s">
        <v>186</v>
      </c>
      <c r="B100" s="151" t="s">
        <v>177</v>
      </c>
      <c r="C100" s="158" t="s">
        <v>50</v>
      </c>
      <c r="D100" s="197">
        <v>14.3</v>
      </c>
      <c r="E100" s="201">
        <f>769.47*K1</f>
        <v>806.11908663</v>
      </c>
      <c r="F100" s="201">
        <f>39.66*K1</f>
        <v>41.54896613999999</v>
      </c>
      <c r="G100" s="201">
        <f t="shared" si="22"/>
        <v>847.6680527699999</v>
      </c>
      <c r="H100" s="199">
        <f t="shared" si="19"/>
        <v>11527.502938809</v>
      </c>
      <c r="I100" s="199">
        <f t="shared" si="20"/>
        <v>594.1502158019999</v>
      </c>
      <c r="J100" s="199">
        <f t="shared" si="21"/>
        <v>12121.653154611</v>
      </c>
      <c r="L100" s="9"/>
      <c r="N100" s="254"/>
    </row>
    <row r="101" spans="1:14" ht="12.75">
      <c r="A101" s="78" t="s">
        <v>187</v>
      </c>
      <c r="B101" s="151" t="s">
        <v>178</v>
      </c>
      <c r="C101" s="172" t="s">
        <v>50</v>
      </c>
      <c r="D101" s="197">
        <v>21</v>
      </c>
      <c r="E101" s="201">
        <f>742.53*K1</f>
        <v>777.8959613699999</v>
      </c>
      <c r="F101" s="201">
        <f>79.32*K1</f>
        <v>83.09793227999998</v>
      </c>
      <c r="G101" s="201">
        <f t="shared" si="22"/>
        <v>860.9938936499999</v>
      </c>
      <c r="H101" s="199">
        <f t="shared" si="19"/>
        <v>16335.815188769997</v>
      </c>
      <c r="I101" s="199">
        <f t="shared" si="20"/>
        <v>1745.0565778799996</v>
      </c>
      <c r="J101" s="199">
        <f t="shared" si="21"/>
        <v>18080.871766649998</v>
      </c>
      <c r="L101" s="9"/>
      <c r="N101" s="254"/>
    </row>
    <row r="102" spans="1:14" ht="12.75">
      <c r="A102" s="78" t="s">
        <v>188</v>
      </c>
      <c r="B102" s="151" t="s">
        <v>179</v>
      </c>
      <c r="C102" s="158" t="s">
        <v>50</v>
      </c>
      <c r="D102" s="197">
        <v>13.44</v>
      </c>
      <c r="E102" s="201">
        <f>497.67*K1</f>
        <v>521.37352443</v>
      </c>
      <c r="F102" s="201">
        <f>50.36*K1</f>
        <v>52.75859644</v>
      </c>
      <c r="G102" s="201">
        <f t="shared" si="22"/>
        <v>574.13212087</v>
      </c>
      <c r="H102" s="199">
        <f t="shared" si="19"/>
        <v>7007.2601683391995</v>
      </c>
      <c r="I102" s="199">
        <f t="shared" si="20"/>
        <v>709.0755361536</v>
      </c>
      <c r="J102" s="199">
        <f t="shared" si="21"/>
        <v>7716.3357044928</v>
      </c>
      <c r="L102" s="9"/>
      <c r="N102" s="254"/>
    </row>
    <row r="103" spans="1:14" ht="25.5">
      <c r="A103" s="78" t="s">
        <v>189</v>
      </c>
      <c r="B103" s="162" t="s">
        <v>180</v>
      </c>
      <c r="C103" s="173" t="s">
        <v>50</v>
      </c>
      <c r="D103" s="197">
        <v>265.39</v>
      </c>
      <c r="E103" s="208">
        <f>196*K1</f>
        <v>205.33528399999997</v>
      </c>
      <c r="F103" s="208">
        <v>0</v>
      </c>
      <c r="G103" s="201">
        <f t="shared" si="22"/>
        <v>205.33528399999997</v>
      </c>
      <c r="H103" s="199">
        <f t="shared" si="19"/>
        <v>54493.93102075999</v>
      </c>
      <c r="I103" s="199">
        <f t="shared" si="20"/>
        <v>0</v>
      </c>
      <c r="J103" s="199">
        <f t="shared" si="21"/>
        <v>54493.93102075999</v>
      </c>
      <c r="L103" s="9"/>
      <c r="N103" s="254"/>
    </row>
    <row r="104" spans="1:14" ht="12.75">
      <c r="A104" s="78" t="s">
        <v>190</v>
      </c>
      <c r="B104" s="152" t="s">
        <v>181</v>
      </c>
      <c r="C104" s="173" t="s">
        <v>81</v>
      </c>
      <c r="D104" s="197">
        <v>144.44</v>
      </c>
      <c r="E104" s="201">
        <v>15.39</v>
      </c>
      <c r="F104" s="201">
        <v>93.75</v>
      </c>
      <c r="G104" s="201">
        <f>F104+E104</f>
        <v>109.14</v>
      </c>
      <c r="H104" s="199">
        <f t="shared" si="19"/>
        <v>2222.9316</v>
      </c>
      <c r="I104" s="199">
        <f t="shared" si="20"/>
        <v>13541.25</v>
      </c>
      <c r="J104" s="199">
        <f>G104*D104</f>
        <v>15764.1816</v>
      </c>
      <c r="L104" s="9"/>
      <c r="N104" s="254"/>
    </row>
    <row r="105" spans="1:14" ht="25.5">
      <c r="A105" s="78" t="s">
        <v>191</v>
      </c>
      <c r="B105" s="151" t="s">
        <v>182</v>
      </c>
      <c r="C105" s="158" t="s">
        <v>81</v>
      </c>
      <c r="D105" s="212">
        <v>95.4</v>
      </c>
      <c r="E105" s="201">
        <f>397.05*K1</f>
        <v>415.96109444999996</v>
      </c>
      <c r="F105" s="201">
        <f>26.44*K1</f>
        <v>27.69931076</v>
      </c>
      <c r="G105" s="201">
        <f t="shared" si="22"/>
        <v>443.66040520999996</v>
      </c>
      <c r="H105" s="199">
        <f t="shared" si="19"/>
        <v>39682.68841053</v>
      </c>
      <c r="I105" s="199">
        <f t="shared" si="20"/>
        <v>2642.5142465040003</v>
      </c>
      <c r="J105" s="199">
        <f t="shared" si="21"/>
        <v>42325.202657033995</v>
      </c>
      <c r="K105" s="1"/>
      <c r="L105" s="9"/>
      <c r="N105" s="254"/>
    </row>
    <row r="106" spans="1:14" ht="12.75">
      <c r="A106" s="155" t="s">
        <v>193</v>
      </c>
      <c r="B106" s="153" t="s">
        <v>192</v>
      </c>
      <c r="C106" s="80"/>
      <c r="D106" s="199"/>
      <c r="E106" s="199"/>
      <c r="F106" s="199"/>
      <c r="G106" s="199"/>
      <c r="H106" s="199"/>
      <c r="I106" s="199"/>
      <c r="J106" s="199"/>
      <c r="L106" s="9"/>
      <c r="N106" s="254"/>
    </row>
    <row r="107" spans="1:14" ht="25.5">
      <c r="A107" s="78" t="s">
        <v>198</v>
      </c>
      <c r="B107" s="151" t="s">
        <v>194</v>
      </c>
      <c r="C107" s="158" t="s">
        <v>171</v>
      </c>
      <c r="D107" s="197">
        <v>2</v>
      </c>
      <c r="E107" s="201">
        <f>134.09*K1</f>
        <v>140.47657261</v>
      </c>
      <c r="F107" s="201">
        <f>38.54*K1</f>
        <v>40.37562165999999</v>
      </c>
      <c r="G107" s="201">
        <f>E107+F107</f>
        <v>180.85219426999998</v>
      </c>
      <c r="H107" s="199">
        <f>D107*E107</f>
        <v>280.95314522</v>
      </c>
      <c r="I107" s="199">
        <f>D107*F107</f>
        <v>80.75124331999999</v>
      </c>
      <c r="J107" s="199">
        <f>I107+H107</f>
        <v>361.70438853999997</v>
      </c>
      <c r="L107" s="9"/>
      <c r="N107" s="254"/>
    </row>
    <row r="108" spans="1:14" ht="25.5">
      <c r="A108" s="78" t="s">
        <v>199</v>
      </c>
      <c r="B108" s="151" t="s">
        <v>195</v>
      </c>
      <c r="C108" s="158" t="s">
        <v>171</v>
      </c>
      <c r="D108" s="197">
        <v>7</v>
      </c>
      <c r="E108" s="201">
        <f>299.41*K1</f>
        <v>313.67059889</v>
      </c>
      <c r="F108" s="201">
        <f>51.38*K1</f>
        <v>53.82717802</v>
      </c>
      <c r="G108" s="201">
        <f>E108+F108</f>
        <v>367.49777691</v>
      </c>
      <c r="H108" s="199">
        <f>D108*E108</f>
        <v>2195.69419223</v>
      </c>
      <c r="I108" s="199">
        <f>D108*F108</f>
        <v>376.79024613999997</v>
      </c>
      <c r="J108" s="199">
        <f>I108+H108</f>
        <v>2572.48443837</v>
      </c>
      <c r="K108" s="1"/>
      <c r="L108" s="9"/>
      <c r="N108" s="254"/>
    </row>
    <row r="109" spans="1:14" ht="25.5">
      <c r="A109" s="78" t="s">
        <v>200</v>
      </c>
      <c r="B109" s="151" t="s">
        <v>196</v>
      </c>
      <c r="C109" s="158" t="s">
        <v>49</v>
      </c>
      <c r="D109" s="197">
        <v>4</v>
      </c>
      <c r="E109" s="201">
        <f>534.89*K1</f>
        <v>560.3662758099999</v>
      </c>
      <c r="F109" s="201">
        <f>45.84*K1</f>
        <v>48.02331336</v>
      </c>
      <c r="G109" s="201">
        <f>E109+F109</f>
        <v>608.3895891699999</v>
      </c>
      <c r="H109" s="199">
        <f>D109*E109</f>
        <v>2241.4651032399997</v>
      </c>
      <c r="I109" s="199">
        <f>D109*F109</f>
        <v>192.09325344</v>
      </c>
      <c r="J109" s="199">
        <f>I109+H109</f>
        <v>2433.5583566799996</v>
      </c>
      <c r="K109" s="254"/>
      <c r="L109" s="9"/>
      <c r="N109" s="254"/>
    </row>
    <row r="110" spans="1:14" ht="12.75">
      <c r="A110" s="78" t="s">
        <v>201</v>
      </c>
      <c r="B110" s="151" t="s">
        <v>197</v>
      </c>
      <c r="C110" s="158" t="s">
        <v>49</v>
      </c>
      <c r="D110" s="197">
        <v>8</v>
      </c>
      <c r="E110" s="201">
        <f>511.22*K1</f>
        <v>535.56889738</v>
      </c>
      <c r="F110" s="201">
        <f>30.56*K1</f>
        <v>32.015542239999995</v>
      </c>
      <c r="G110" s="201">
        <f>E110+F110</f>
        <v>567.5844396199999</v>
      </c>
      <c r="H110" s="199">
        <f>D110*E110</f>
        <v>4284.55117904</v>
      </c>
      <c r="I110" s="199">
        <f>D110*F110</f>
        <v>256.12433791999996</v>
      </c>
      <c r="J110" s="199">
        <f>I110+H110</f>
        <v>4540.675516959999</v>
      </c>
      <c r="K110" s="1"/>
      <c r="L110" s="9"/>
      <c r="N110" s="254"/>
    </row>
    <row r="111" spans="1:14" ht="12.75">
      <c r="A111" s="72">
        <v>9</v>
      </c>
      <c r="B111" s="77" t="s">
        <v>904</v>
      </c>
      <c r="C111" s="171"/>
      <c r="D111" s="205"/>
      <c r="E111" s="205"/>
      <c r="F111" s="205"/>
      <c r="G111" s="205"/>
      <c r="H111" s="205"/>
      <c r="I111" s="205"/>
      <c r="J111" s="206"/>
      <c r="K111" s="1"/>
      <c r="L111" s="9"/>
      <c r="N111" s="254"/>
    </row>
    <row r="112" spans="1:14" ht="12.75">
      <c r="A112" s="78" t="s">
        <v>207</v>
      </c>
      <c r="B112" s="152" t="s">
        <v>202</v>
      </c>
      <c r="C112" s="159" t="s">
        <v>50</v>
      </c>
      <c r="D112" s="200">
        <v>17030.1</v>
      </c>
      <c r="E112" s="200">
        <f>1.31*K1</f>
        <v>1.37239399</v>
      </c>
      <c r="F112" s="200">
        <f>2.62*K1</f>
        <v>2.74478798</v>
      </c>
      <c r="G112" s="207">
        <f>E112+F112</f>
        <v>4.11718197</v>
      </c>
      <c r="H112" s="199">
        <f>D112*E112</f>
        <v>23372.006889098997</v>
      </c>
      <c r="I112" s="199">
        <f>D112*F112</f>
        <v>46744.013778197994</v>
      </c>
      <c r="J112" s="199">
        <f>I112+H112</f>
        <v>70116.020667297</v>
      </c>
      <c r="L112" s="9"/>
      <c r="N112" s="254"/>
    </row>
    <row r="113" spans="1:14" ht="12.75">
      <c r="A113" s="226" t="s">
        <v>208</v>
      </c>
      <c r="B113" s="227" t="s">
        <v>203</v>
      </c>
      <c r="C113" s="228" t="s">
        <v>50</v>
      </c>
      <c r="D113" s="229">
        <v>17030.1</v>
      </c>
      <c r="E113" s="229">
        <v>8.93</v>
      </c>
      <c r="F113" s="229">
        <v>4.95</v>
      </c>
      <c r="G113" s="266">
        <f>E113+F113</f>
        <v>13.879999999999999</v>
      </c>
      <c r="H113" s="231">
        <f>D113*E113</f>
        <v>152078.79299999998</v>
      </c>
      <c r="I113" s="231">
        <f>D113*F113</f>
        <v>84298.995</v>
      </c>
      <c r="J113" s="231">
        <f>G113*D113</f>
        <v>236377.78799999997</v>
      </c>
      <c r="K113" s="1"/>
      <c r="L113" s="9"/>
      <c r="N113" s="254"/>
    </row>
    <row r="114" spans="1:14" ht="38.25">
      <c r="A114" s="226" t="s">
        <v>209</v>
      </c>
      <c r="B114" s="227" t="s">
        <v>204</v>
      </c>
      <c r="C114" s="228" t="s">
        <v>50</v>
      </c>
      <c r="D114" s="267">
        <v>1165.5</v>
      </c>
      <c r="E114" s="229">
        <v>7.41</v>
      </c>
      <c r="F114" s="229">
        <v>32.68</v>
      </c>
      <c r="G114" s="266">
        <f>E114+F114</f>
        <v>40.09</v>
      </c>
      <c r="H114" s="231">
        <f>D114*E114</f>
        <v>8636.355</v>
      </c>
      <c r="I114" s="231">
        <f>D114*F114</f>
        <v>38088.54</v>
      </c>
      <c r="J114" s="231">
        <f>I114+H114</f>
        <v>46724.895000000004</v>
      </c>
      <c r="L114" s="9"/>
      <c r="N114" s="254"/>
    </row>
    <row r="115" spans="1:14" ht="38.25">
      <c r="A115" s="226" t="s">
        <v>210</v>
      </c>
      <c r="B115" s="268" t="s">
        <v>205</v>
      </c>
      <c r="C115" s="269" t="s">
        <v>50</v>
      </c>
      <c r="D115" s="270">
        <v>92.7</v>
      </c>
      <c r="E115" s="271">
        <v>17.87</v>
      </c>
      <c r="F115" s="230">
        <v>109.22</v>
      </c>
      <c r="G115" s="266">
        <f>E115+F115</f>
        <v>127.09</v>
      </c>
      <c r="H115" s="231">
        <f>D115*E115</f>
        <v>1656.5490000000002</v>
      </c>
      <c r="I115" s="231">
        <f>D115*F115</f>
        <v>10124.694</v>
      </c>
      <c r="J115" s="231">
        <f>I115+H115</f>
        <v>11781.243</v>
      </c>
      <c r="L115" s="9"/>
      <c r="N115" s="254"/>
    </row>
    <row r="116" spans="1:14" ht="25.5">
      <c r="A116" s="226" t="s">
        <v>211</v>
      </c>
      <c r="B116" s="268" t="s">
        <v>206</v>
      </c>
      <c r="C116" s="228" t="s">
        <v>81</v>
      </c>
      <c r="D116" s="229">
        <v>418.24</v>
      </c>
      <c r="E116" s="229">
        <v>3.53</v>
      </c>
      <c r="F116" s="229">
        <v>85.52</v>
      </c>
      <c r="G116" s="266">
        <f>E116+F116</f>
        <v>89.05</v>
      </c>
      <c r="H116" s="231">
        <f>D116*E116</f>
        <v>1476.3872</v>
      </c>
      <c r="I116" s="231">
        <f>D116*F116</f>
        <v>35767.8848</v>
      </c>
      <c r="J116" s="231">
        <f>I116+H116</f>
        <v>37244.272</v>
      </c>
      <c r="K116" s="1"/>
      <c r="L116" s="9"/>
      <c r="N116" s="254"/>
    </row>
    <row r="117" spans="1:14" ht="12.75">
      <c r="A117" s="72">
        <v>10</v>
      </c>
      <c r="B117" s="77" t="s">
        <v>212</v>
      </c>
      <c r="C117" s="171"/>
      <c r="D117" s="205"/>
      <c r="E117" s="205"/>
      <c r="F117" s="205"/>
      <c r="G117" s="205"/>
      <c r="H117" s="205"/>
      <c r="I117" s="205"/>
      <c r="J117" s="206"/>
      <c r="K117" s="1"/>
      <c r="L117" s="9"/>
      <c r="N117" s="254"/>
    </row>
    <row r="118" spans="1:14" ht="12.75">
      <c r="A118" s="78" t="s">
        <v>229</v>
      </c>
      <c r="B118" s="152" t="s">
        <v>213</v>
      </c>
      <c r="C118" s="173" t="s">
        <v>51</v>
      </c>
      <c r="D118" s="197">
        <v>213.78</v>
      </c>
      <c r="E118" s="200">
        <f>211.13*K1</f>
        <v>221.18591077</v>
      </c>
      <c r="F118" s="200">
        <f>176.85*K1</f>
        <v>185.27318864999998</v>
      </c>
      <c r="G118" s="207">
        <f>E118+F118</f>
        <v>406.45909942</v>
      </c>
      <c r="H118" s="199">
        <f>D118*E118</f>
        <v>47285.1240044106</v>
      </c>
      <c r="I118" s="199">
        <f>D118*F118</f>
        <v>39607.70226959699</v>
      </c>
      <c r="J118" s="199">
        <f>I118+H118</f>
        <v>86892.82627400759</v>
      </c>
      <c r="L118" s="9"/>
      <c r="N118" s="254"/>
    </row>
    <row r="119" spans="1:14" ht="12.75">
      <c r="A119" s="78" t="s">
        <v>230</v>
      </c>
      <c r="B119" s="152" t="s">
        <v>214</v>
      </c>
      <c r="C119" s="159" t="s">
        <v>51</v>
      </c>
      <c r="D119" s="200">
        <v>222.38</v>
      </c>
      <c r="E119" s="200">
        <f>262.81*K1</f>
        <v>275.32737749</v>
      </c>
      <c r="F119" s="200">
        <f>176.85*K1</f>
        <v>185.27318864999998</v>
      </c>
      <c r="G119" s="207">
        <f aca="true" t="shared" si="23" ref="G119:G133">E119+F119</f>
        <v>460.60056613999996</v>
      </c>
      <c r="H119" s="199">
        <f>D119*E119</f>
        <v>61227.3022062262</v>
      </c>
      <c r="I119" s="199">
        <f>D119*F119</f>
        <v>41201.05169198699</v>
      </c>
      <c r="J119" s="199">
        <f>I119+H119</f>
        <v>102428.35389821319</v>
      </c>
      <c r="L119" s="9"/>
      <c r="N119" s="254"/>
    </row>
    <row r="120" spans="1:14" ht="12.75">
      <c r="A120" s="78" t="s">
        <v>231</v>
      </c>
      <c r="B120" s="162" t="s">
        <v>215</v>
      </c>
      <c r="C120" s="159" t="s">
        <v>50</v>
      </c>
      <c r="D120" s="200">
        <v>1745.85</v>
      </c>
      <c r="E120" s="200">
        <f>5.25*K1</f>
        <v>5.5000522499999995</v>
      </c>
      <c r="F120" s="200">
        <f>13.64*K1</f>
        <v>14.289659559999999</v>
      </c>
      <c r="G120" s="207">
        <f t="shared" si="23"/>
        <v>19.78971181</v>
      </c>
      <c r="H120" s="199">
        <f>D120*E120</f>
        <v>9602.2662206625</v>
      </c>
      <c r="I120" s="199">
        <f>D120*F120</f>
        <v>24947.602142825996</v>
      </c>
      <c r="J120" s="199">
        <f>I120+H120</f>
        <v>34549.868363488495</v>
      </c>
      <c r="L120" s="9"/>
      <c r="N120" s="254"/>
    </row>
    <row r="121" spans="1:14" ht="25.5">
      <c r="A121" s="78" t="s">
        <v>232</v>
      </c>
      <c r="B121" s="162" t="s">
        <v>216</v>
      </c>
      <c r="C121" s="159" t="s">
        <v>50</v>
      </c>
      <c r="D121" s="200">
        <v>1745.85</v>
      </c>
      <c r="E121" s="200">
        <v>10.73</v>
      </c>
      <c r="F121" s="200">
        <v>0</v>
      </c>
      <c r="G121" s="207">
        <f>F121+E121</f>
        <v>10.73</v>
      </c>
      <c r="H121" s="199">
        <f>D121*E121</f>
        <v>18732.9705</v>
      </c>
      <c r="I121" s="199">
        <f>D121*F121</f>
        <v>0</v>
      </c>
      <c r="J121" s="199">
        <f>I121+H121</f>
        <v>18732.9705</v>
      </c>
      <c r="L121" s="9"/>
      <c r="N121" s="254"/>
    </row>
    <row r="122" spans="1:14" ht="25.5">
      <c r="A122" s="78" t="s">
        <v>233</v>
      </c>
      <c r="B122" s="162" t="s">
        <v>217</v>
      </c>
      <c r="C122" s="159" t="s">
        <v>81</v>
      </c>
      <c r="D122" s="215">
        <v>522.06</v>
      </c>
      <c r="E122" s="200">
        <f>0.58*K1</f>
        <v>0.60762482</v>
      </c>
      <c r="F122" s="200">
        <f>13.07*K1</f>
        <v>13.692511029999999</v>
      </c>
      <c r="G122" s="207">
        <f t="shared" si="23"/>
        <v>14.300135849999998</v>
      </c>
      <c r="H122" s="199">
        <f>D122*E122</f>
        <v>317.21661352919995</v>
      </c>
      <c r="I122" s="199">
        <f>D122*F122</f>
        <v>7148.312308321799</v>
      </c>
      <c r="J122" s="199">
        <f>I122+H122</f>
        <v>7465.528921850999</v>
      </c>
      <c r="L122" s="9"/>
      <c r="N122" s="254"/>
    </row>
    <row r="123" spans="1:14" ht="25.5">
      <c r="A123" s="78" t="s">
        <v>234</v>
      </c>
      <c r="B123" s="151" t="s">
        <v>218</v>
      </c>
      <c r="C123" s="158" t="s">
        <v>50</v>
      </c>
      <c r="D123" s="215">
        <v>2484.38</v>
      </c>
      <c r="E123" s="201">
        <f>104.43*K1</f>
        <v>109.40389646999999</v>
      </c>
      <c r="F123" s="201">
        <v>0</v>
      </c>
      <c r="G123" s="207">
        <f t="shared" si="23"/>
        <v>109.40389646999999</v>
      </c>
      <c r="H123" s="199">
        <f aca="true" t="shared" si="24" ref="H123:H167">D123*E123</f>
        <v>271800.8523121386</v>
      </c>
      <c r="I123" s="199">
        <f aca="true" t="shared" si="25" ref="I123:I167">D123*F123</f>
        <v>0</v>
      </c>
      <c r="J123" s="199">
        <f aca="true" t="shared" si="26" ref="J123:J167">I123+H123</f>
        <v>271800.8523121386</v>
      </c>
      <c r="L123" s="9"/>
      <c r="N123" s="254"/>
    </row>
    <row r="124" spans="1:14" ht="25.5">
      <c r="A124" s="78" t="s">
        <v>235</v>
      </c>
      <c r="B124" s="151" t="s">
        <v>219</v>
      </c>
      <c r="C124" s="158" t="s">
        <v>50</v>
      </c>
      <c r="D124" s="215">
        <v>1282.75</v>
      </c>
      <c r="E124" s="201">
        <f>104.43*K1</f>
        <v>109.40389646999999</v>
      </c>
      <c r="F124" s="201">
        <v>0</v>
      </c>
      <c r="G124" s="207">
        <f t="shared" si="23"/>
        <v>109.40389646999999</v>
      </c>
      <c r="H124" s="199">
        <f t="shared" si="24"/>
        <v>140337.8481968925</v>
      </c>
      <c r="I124" s="199">
        <f t="shared" si="25"/>
        <v>0</v>
      </c>
      <c r="J124" s="199">
        <f t="shared" si="26"/>
        <v>140337.8481968925</v>
      </c>
      <c r="L124" s="9"/>
      <c r="N124" s="254"/>
    </row>
    <row r="125" spans="1:14" ht="25.5">
      <c r="A125" s="78" t="s">
        <v>236</v>
      </c>
      <c r="B125" s="151" t="s">
        <v>220</v>
      </c>
      <c r="C125" s="158" t="s">
        <v>50</v>
      </c>
      <c r="D125" s="215">
        <v>190.55</v>
      </c>
      <c r="E125" s="201">
        <f>104.43*K1</f>
        <v>109.40389646999999</v>
      </c>
      <c r="F125" s="201">
        <v>0</v>
      </c>
      <c r="G125" s="207">
        <f t="shared" si="23"/>
        <v>109.40389646999999</v>
      </c>
      <c r="H125" s="199">
        <f t="shared" si="24"/>
        <v>20846.9124723585</v>
      </c>
      <c r="I125" s="199">
        <f t="shared" si="25"/>
        <v>0</v>
      </c>
      <c r="J125" s="199">
        <f t="shared" si="26"/>
        <v>20846.9124723585</v>
      </c>
      <c r="L125" s="9"/>
      <c r="N125" s="254"/>
    </row>
    <row r="126" spans="1:14" ht="25.5">
      <c r="A126" s="78" t="s">
        <v>237</v>
      </c>
      <c r="B126" s="151" t="s">
        <v>221</v>
      </c>
      <c r="C126" s="158" t="s">
        <v>81</v>
      </c>
      <c r="D126" s="215">
        <v>1912.66</v>
      </c>
      <c r="E126" s="201">
        <v>22.66</v>
      </c>
      <c r="F126" s="201">
        <v>0</v>
      </c>
      <c r="G126" s="207">
        <v>22.66</v>
      </c>
      <c r="H126" s="199">
        <f t="shared" si="24"/>
        <v>43340.8756</v>
      </c>
      <c r="I126" s="199">
        <f t="shared" si="25"/>
        <v>0</v>
      </c>
      <c r="J126" s="199">
        <f>G126*D126</f>
        <v>43340.8756</v>
      </c>
      <c r="L126" s="9"/>
      <c r="N126" s="254"/>
    </row>
    <row r="127" spans="1:14" ht="38.25">
      <c r="A127" s="226" t="s">
        <v>238</v>
      </c>
      <c r="B127" s="227" t="s">
        <v>222</v>
      </c>
      <c r="C127" s="228" t="s">
        <v>50</v>
      </c>
      <c r="D127" s="229">
        <v>325.85999999999996</v>
      </c>
      <c r="E127" s="229">
        <v>8.78</v>
      </c>
      <c r="F127" s="229">
        <v>26.56</v>
      </c>
      <c r="G127" s="266">
        <f t="shared" si="23"/>
        <v>35.339999999999996</v>
      </c>
      <c r="H127" s="231">
        <f t="shared" si="24"/>
        <v>2861.0507999999995</v>
      </c>
      <c r="I127" s="231">
        <f t="shared" si="25"/>
        <v>8654.841599999998</v>
      </c>
      <c r="J127" s="231">
        <f t="shared" si="26"/>
        <v>11515.892399999997</v>
      </c>
      <c r="L127" s="9"/>
      <c r="N127" s="254"/>
    </row>
    <row r="128" spans="1:14" ht="38.25">
      <c r="A128" s="226" t="s">
        <v>239</v>
      </c>
      <c r="B128" s="227" t="s">
        <v>223</v>
      </c>
      <c r="C128" s="228" t="s">
        <v>81</v>
      </c>
      <c r="D128" s="229">
        <v>320.67999999999995</v>
      </c>
      <c r="E128" s="229">
        <v>0.7</v>
      </c>
      <c r="F128" s="229">
        <v>14.51</v>
      </c>
      <c r="G128" s="266">
        <f t="shared" si="23"/>
        <v>15.209999999999999</v>
      </c>
      <c r="H128" s="231">
        <f t="shared" si="24"/>
        <v>224.47599999999994</v>
      </c>
      <c r="I128" s="231">
        <f t="shared" si="25"/>
        <v>4653.0668</v>
      </c>
      <c r="J128" s="231">
        <f t="shared" si="26"/>
        <v>4877.542799999999</v>
      </c>
      <c r="L128" s="9"/>
      <c r="N128" s="254"/>
    </row>
    <row r="129" spans="1:14" ht="25.5">
      <c r="A129" s="78" t="s">
        <v>240</v>
      </c>
      <c r="B129" s="162" t="s">
        <v>224</v>
      </c>
      <c r="C129" s="159" t="s">
        <v>50</v>
      </c>
      <c r="D129" s="200">
        <v>34.08</v>
      </c>
      <c r="E129" s="200">
        <f>162.78*K1</f>
        <v>170.53304862</v>
      </c>
      <c r="F129" s="200">
        <f>6.73*K1</f>
        <v>7.05054317</v>
      </c>
      <c r="G129" s="207">
        <f t="shared" si="23"/>
        <v>177.58359178999999</v>
      </c>
      <c r="H129" s="199">
        <f t="shared" si="24"/>
        <v>5811.766296969599</v>
      </c>
      <c r="I129" s="199">
        <f t="shared" si="25"/>
        <v>240.2825112336</v>
      </c>
      <c r="J129" s="199">
        <f t="shared" si="26"/>
        <v>6052.0488082032</v>
      </c>
      <c r="L129" s="9"/>
      <c r="N129" s="254"/>
    </row>
    <row r="130" spans="1:14" ht="25.5">
      <c r="A130" s="78" t="s">
        <v>241</v>
      </c>
      <c r="B130" s="162" t="s">
        <v>225</v>
      </c>
      <c r="C130" s="159" t="s">
        <v>50</v>
      </c>
      <c r="D130" s="200">
        <v>79.21</v>
      </c>
      <c r="E130" s="200">
        <f>18.45*K1</f>
        <v>19.328755049999998</v>
      </c>
      <c r="F130" s="200">
        <f>21.44*K1</f>
        <v>22.46116576</v>
      </c>
      <c r="G130" s="207">
        <f t="shared" si="23"/>
        <v>41.78992081</v>
      </c>
      <c r="H130" s="199">
        <f t="shared" si="24"/>
        <v>1531.0306875104998</v>
      </c>
      <c r="I130" s="199">
        <f t="shared" si="25"/>
        <v>1779.1489398495999</v>
      </c>
      <c r="J130" s="199">
        <f t="shared" si="26"/>
        <v>3310.1796273600994</v>
      </c>
      <c r="L130" s="9"/>
      <c r="N130" s="254"/>
    </row>
    <row r="131" spans="1:14" ht="25.5">
      <c r="A131" s="78" t="s">
        <v>242</v>
      </c>
      <c r="B131" s="152" t="s">
        <v>226</v>
      </c>
      <c r="C131" s="159" t="s">
        <v>50</v>
      </c>
      <c r="D131" s="197">
        <v>21.18</v>
      </c>
      <c r="E131" s="200">
        <f>60.12*K1</f>
        <v>62.98345547999999</v>
      </c>
      <c r="F131" s="200">
        <f>35.4*K1</f>
        <v>37.086066599999995</v>
      </c>
      <c r="G131" s="207">
        <f t="shared" si="23"/>
        <v>100.06952207999998</v>
      </c>
      <c r="H131" s="199">
        <f t="shared" si="24"/>
        <v>1333.9895870663997</v>
      </c>
      <c r="I131" s="199">
        <f t="shared" si="25"/>
        <v>785.4828905879999</v>
      </c>
      <c r="J131" s="199">
        <f t="shared" si="26"/>
        <v>2119.4724776544</v>
      </c>
      <c r="L131" s="9"/>
      <c r="N131" s="254"/>
    </row>
    <row r="132" spans="1:14" ht="25.5">
      <c r="A132" s="78" t="s">
        <v>243</v>
      </c>
      <c r="B132" s="152" t="s">
        <v>227</v>
      </c>
      <c r="C132" s="159" t="s">
        <v>50</v>
      </c>
      <c r="D132" s="200">
        <v>21.18</v>
      </c>
      <c r="E132" s="200">
        <f>1.91*K1</f>
        <v>2.0009713899999997</v>
      </c>
      <c r="F132" s="200">
        <f>5.6*K1</f>
        <v>5.8667224</v>
      </c>
      <c r="G132" s="207">
        <f t="shared" si="23"/>
        <v>7.867693789999999</v>
      </c>
      <c r="H132" s="199">
        <f t="shared" si="24"/>
        <v>42.380574040199996</v>
      </c>
      <c r="I132" s="199">
        <f t="shared" si="25"/>
        <v>124.25718043199998</v>
      </c>
      <c r="J132" s="199">
        <f t="shared" si="26"/>
        <v>166.6377544722</v>
      </c>
      <c r="L132" s="9"/>
      <c r="N132" s="254"/>
    </row>
    <row r="133" spans="1:14" ht="25.5">
      <c r="A133" s="78" t="s">
        <v>244</v>
      </c>
      <c r="B133" s="162" t="s">
        <v>228</v>
      </c>
      <c r="C133" s="159" t="s">
        <v>49</v>
      </c>
      <c r="D133" s="200">
        <v>96</v>
      </c>
      <c r="E133" s="200">
        <f>2.46*K1</f>
        <v>2.57716734</v>
      </c>
      <c r="F133" s="200">
        <f>0.87*K1</f>
        <v>0.9114372299999999</v>
      </c>
      <c r="G133" s="207">
        <f t="shared" si="23"/>
        <v>3.4886045699999997</v>
      </c>
      <c r="H133" s="199">
        <f t="shared" si="24"/>
        <v>247.40806464</v>
      </c>
      <c r="I133" s="199">
        <f t="shared" si="25"/>
        <v>87.49797407999999</v>
      </c>
      <c r="J133" s="199">
        <f t="shared" si="26"/>
        <v>334.90603871999997</v>
      </c>
      <c r="K133" s="1"/>
      <c r="L133" s="9"/>
      <c r="N133" s="254"/>
    </row>
    <row r="134" spans="1:14" ht="12.75">
      <c r="A134" s="72">
        <v>11</v>
      </c>
      <c r="B134" s="77" t="s">
        <v>245</v>
      </c>
      <c r="C134" s="171"/>
      <c r="D134" s="205"/>
      <c r="E134" s="205"/>
      <c r="F134" s="205"/>
      <c r="G134" s="205"/>
      <c r="H134" s="205"/>
      <c r="I134" s="205"/>
      <c r="J134" s="206"/>
      <c r="L134" s="9"/>
      <c r="N134" s="254"/>
    </row>
    <row r="135" spans="1:14" ht="25.5">
      <c r="A135" s="78" t="s">
        <v>248</v>
      </c>
      <c r="B135" s="162" t="s">
        <v>246</v>
      </c>
      <c r="C135" s="173" t="s">
        <v>50</v>
      </c>
      <c r="D135" s="197">
        <v>3477.17</v>
      </c>
      <c r="E135" s="200">
        <f>63.75*K1</f>
        <v>66.78634875</v>
      </c>
      <c r="F135" s="200">
        <v>0</v>
      </c>
      <c r="G135" s="207">
        <f>F135+E135</f>
        <v>66.78634875</v>
      </c>
      <c r="H135" s="199">
        <f t="shared" si="24"/>
        <v>232227.4882830375</v>
      </c>
      <c r="I135" s="199">
        <f t="shared" si="25"/>
        <v>0</v>
      </c>
      <c r="J135" s="199">
        <f t="shared" si="26"/>
        <v>232227.4882830375</v>
      </c>
      <c r="L135" s="9"/>
      <c r="N135" s="254"/>
    </row>
    <row r="136" spans="1:14" ht="12.75">
      <c r="A136" s="78" t="s">
        <v>249</v>
      </c>
      <c r="B136" s="151" t="s">
        <v>247</v>
      </c>
      <c r="C136" s="172" t="s">
        <v>50</v>
      </c>
      <c r="D136" s="197">
        <v>823.77</v>
      </c>
      <c r="E136" s="214">
        <f>48.93*K1</f>
        <v>51.260486969999995</v>
      </c>
      <c r="F136" s="201">
        <v>0</v>
      </c>
      <c r="G136" s="207">
        <f>F136+E136</f>
        <v>51.260486969999995</v>
      </c>
      <c r="H136" s="199">
        <f t="shared" si="24"/>
        <v>42226.8513512769</v>
      </c>
      <c r="I136" s="199">
        <f t="shared" si="25"/>
        <v>0</v>
      </c>
      <c r="J136" s="199">
        <f t="shared" si="26"/>
        <v>42226.8513512769</v>
      </c>
      <c r="K136" s="1"/>
      <c r="L136" s="9"/>
      <c r="N136" s="254"/>
    </row>
    <row r="137" spans="1:14" ht="12.75">
      <c r="A137" s="72">
        <v>12</v>
      </c>
      <c r="B137" s="77" t="s">
        <v>250</v>
      </c>
      <c r="C137" s="171"/>
      <c r="D137" s="205"/>
      <c r="E137" s="205"/>
      <c r="F137" s="205"/>
      <c r="G137" s="205"/>
      <c r="H137" s="205"/>
      <c r="I137" s="205"/>
      <c r="J137" s="206"/>
      <c r="K137" s="1"/>
      <c r="L137" s="9"/>
      <c r="N137" s="254"/>
    </row>
    <row r="138" spans="1:14" ht="12.75">
      <c r="A138" s="78" t="s">
        <v>258</v>
      </c>
      <c r="B138" s="151" t="s">
        <v>251</v>
      </c>
      <c r="C138" s="158" t="s">
        <v>50</v>
      </c>
      <c r="D138" s="200">
        <v>4</v>
      </c>
      <c r="E138" s="201">
        <f>79.57*K1</f>
        <v>83.35983952999999</v>
      </c>
      <c r="F138" s="201">
        <f>17.3*K1</f>
        <v>18.123981699999998</v>
      </c>
      <c r="G138" s="201">
        <f>E138+F138</f>
        <v>101.48382122999999</v>
      </c>
      <c r="H138" s="199">
        <f t="shared" si="24"/>
        <v>333.43935811999995</v>
      </c>
      <c r="I138" s="199">
        <f t="shared" si="25"/>
        <v>72.49592679999999</v>
      </c>
      <c r="J138" s="199">
        <f t="shared" si="26"/>
        <v>405.93528491999996</v>
      </c>
      <c r="L138" s="9"/>
      <c r="N138" s="254"/>
    </row>
    <row r="139" spans="1:14" ht="12.75">
      <c r="A139" s="226" t="s">
        <v>259</v>
      </c>
      <c r="B139" s="272" t="s">
        <v>252</v>
      </c>
      <c r="C139" s="273" t="s">
        <v>50</v>
      </c>
      <c r="D139" s="270">
        <v>592.6</v>
      </c>
      <c r="E139" s="230">
        <v>20.14</v>
      </c>
      <c r="F139" s="230">
        <v>75.1</v>
      </c>
      <c r="G139" s="230">
        <f aca="true" t="shared" si="27" ref="G139:G144">E139+F139</f>
        <v>95.24</v>
      </c>
      <c r="H139" s="231">
        <f t="shared" si="24"/>
        <v>11934.964</v>
      </c>
      <c r="I139" s="231">
        <f t="shared" si="25"/>
        <v>44504.259999999995</v>
      </c>
      <c r="J139" s="231">
        <f t="shared" si="26"/>
        <v>56439.223999999995</v>
      </c>
      <c r="L139" s="9"/>
      <c r="N139" s="254"/>
    </row>
    <row r="140" spans="1:14" ht="12.75">
      <c r="A140" s="78" t="s">
        <v>260</v>
      </c>
      <c r="B140" s="151" t="s">
        <v>253</v>
      </c>
      <c r="C140" s="158" t="s">
        <v>50</v>
      </c>
      <c r="D140" s="200">
        <v>10.96</v>
      </c>
      <c r="E140" s="201">
        <f>208*K1</f>
        <v>217.90683199999998</v>
      </c>
      <c r="F140" s="201">
        <v>0</v>
      </c>
      <c r="G140" s="201">
        <f t="shared" si="27"/>
        <v>217.90683199999998</v>
      </c>
      <c r="H140" s="199">
        <f t="shared" si="24"/>
        <v>2388.2588787199998</v>
      </c>
      <c r="I140" s="199">
        <f t="shared" si="25"/>
        <v>0</v>
      </c>
      <c r="J140" s="199">
        <f t="shared" si="26"/>
        <v>2388.2588787199998</v>
      </c>
      <c r="L140" s="9"/>
      <c r="N140" s="254"/>
    </row>
    <row r="141" spans="1:14" ht="12.75">
      <c r="A141" s="78" t="s">
        <v>261</v>
      </c>
      <c r="B141" s="151" t="s">
        <v>254</v>
      </c>
      <c r="C141" s="158" t="s">
        <v>50</v>
      </c>
      <c r="D141" s="200">
        <v>4.64</v>
      </c>
      <c r="E141" s="201">
        <f>208*K1</f>
        <v>217.90683199999998</v>
      </c>
      <c r="F141" s="201">
        <v>0</v>
      </c>
      <c r="G141" s="201">
        <f t="shared" si="27"/>
        <v>217.90683199999998</v>
      </c>
      <c r="H141" s="199">
        <f t="shared" si="24"/>
        <v>1011.0877004799999</v>
      </c>
      <c r="I141" s="199">
        <f t="shared" si="25"/>
        <v>0</v>
      </c>
      <c r="J141" s="199">
        <f t="shared" si="26"/>
        <v>1011.0877004799999</v>
      </c>
      <c r="L141" s="9"/>
      <c r="N141" s="254"/>
    </row>
    <row r="142" spans="1:14" ht="12.75">
      <c r="A142" s="78" t="s">
        <v>262</v>
      </c>
      <c r="B142" s="151" t="s">
        <v>255</v>
      </c>
      <c r="C142" s="158" t="s">
        <v>50</v>
      </c>
      <c r="D142" s="200">
        <v>89.24</v>
      </c>
      <c r="E142" s="201">
        <f>208*K1</f>
        <v>217.90683199999998</v>
      </c>
      <c r="F142" s="201">
        <v>0</v>
      </c>
      <c r="G142" s="201">
        <f t="shared" si="27"/>
        <v>217.90683199999998</v>
      </c>
      <c r="H142" s="199">
        <f t="shared" si="24"/>
        <v>19446.005687679997</v>
      </c>
      <c r="I142" s="199">
        <f t="shared" si="25"/>
        <v>0</v>
      </c>
      <c r="J142" s="199">
        <f t="shared" si="26"/>
        <v>19446.005687679997</v>
      </c>
      <c r="L142" s="9"/>
      <c r="N142" s="254"/>
    </row>
    <row r="143" spans="1:14" ht="12.75">
      <c r="A143" s="78" t="s">
        <v>263</v>
      </c>
      <c r="B143" s="151" t="s">
        <v>256</v>
      </c>
      <c r="C143" s="158" t="s">
        <v>50</v>
      </c>
      <c r="D143" s="200">
        <v>127.92</v>
      </c>
      <c r="E143" s="201">
        <f>208*K1</f>
        <v>217.90683199999998</v>
      </c>
      <c r="F143" s="201">
        <v>0</v>
      </c>
      <c r="G143" s="201">
        <f t="shared" si="27"/>
        <v>217.90683199999998</v>
      </c>
      <c r="H143" s="199">
        <f t="shared" si="24"/>
        <v>27874.641949439996</v>
      </c>
      <c r="I143" s="199">
        <f t="shared" si="25"/>
        <v>0</v>
      </c>
      <c r="J143" s="199">
        <f t="shared" si="26"/>
        <v>27874.641949439996</v>
      </c>
      <c r="L143" s="9"/>
      <c r="N143" s="254"/>
    </row>
    <row r="144" spans="1:14" ht="25.5">
      <c r="A144" s="78" t="s">
        <v>264</v>
      </c>
      <c r="B144" s="162" t="s">
        <v>257</v>
      </c>
      <c r="C144" s="159" t="s">
        <v>50</v>
      </c>
      <c r="D144" s="200">
        <v>275.19</v>
      </c>
      <c r="E144" s="201">
        <f>218.89*K1</f>
        <v>229.31551180999998</v>
      </c>
      <c r="F144" s="201">
        <f>17.3*K1</f>
        <v>18.123981699999998</v>
      </c>
      <c r="G144" s="201">
        <f t="shared" si="27"/>
        <v>247.43949350999998</v>
      </c>
      <c r="H144" s="199">
        <f t="shared" si="24"/>
        <v>63105.33569499389</v>
      </c>
      <c r="I144" s="199">
        <f t="shared" si="25"/>
        <v>4987.538524023</v>
      </c>
      <c r="J144" s="199">
        <f t="shared" si="26"/>
        <v>68092.87421901689</v>
      </c>
      <c r="L144" s="9"/>
      <c r="N144" s="254"/>
    </row>
    <row r="145" spans="1:14" ht="24">
      <c r="A145" s="155" t="s">
        <v>266</v>
      </c>
      <c r="B145" s="153" t="s">
        <v>265</v>
      </c>
      <c r="C145" s="80"/>
      <c r="D145" s="199"/>
      <c r="E145" s="199"/>
      <c r="F145" s="199"/>
      <c r="G145" s="199"/>
      <c r="H145" s="199"/>
      <c r="I145" s="199"/>
      <c r="J145" s="199"/>
      <c r="L145" s="9"/>
      <c r="N145" s="254"/>
    </row>
    <row r="146" spans="1:14" ht="12.75">
      <c r="A146" s="78" t="s">
        <v>280</v>
      </c>
      <c r="B146" s="162" t="s">
        <v>267</v>
      </c>
      <c r="C146" s="159" t="s">
        <v>49</v>
      </c>
      <c r="D146" s="207">
        <v>4</v>
      </c>
      <c r="E146" s="201">
        <f>145.15*K1</f>
        <v>152.06334934999998</v>
      </c>
      <c r="F146" s="201">
        <f>5.19*K1</f>
        <v>5.43719451</v>
      </c>
      <c r="G146" s="201">
        <f>E146+F146</f>
        <v>157.50054386</v>
      </c>
      <c r="H146" s="199">
        <f t="shared" si="24"/>
        <v>608.2533973999999</v>
      </c>
      <c r="I146" s="199">
        <f t="shared" si="25"/>
        <v>21.74877804</v>
      </c>
      <c r="J146" s="199">
        <f t="shared" si="26"/>
        <v>630.00217544</v>
      </c>
      <c r="L146" s="9"/>
      <c r="N146" s="254"/>
    </row>
    <row r="147" spans="1:14" ht="12.75">
      <c r="A147" s="78" t="s">
        <v>281</v>
      </c>
      <c r="B147" s="162" t="s">
        <v>268</v>
      </c>
      <c r="C147" s="159" t="s">
        <v>49</v>
      </c>
      <c r="D147" s="207">
        <v>4</v>
      </c>
      <c r="E147" s="201">
        <f>103.49*K1</f>
        <v>108.41912520999999</v>
      </c>
      <c r="F147" s="201">
        <f>5.19*K1</f>
        <v>5.43719451</v>
      </c>
      <c r="G147" s="201">
        <f aca="true" t="shared" si="28" ref="G147:G158">E147+F147</f>
        <v>113.85631971999999</v>
      </c>
      <c r="H147" s="199">
        <f t="shared" si="24"/>
        <v>433.67650083999996</v>
      </c>
      <c r="I147" s="199">
        <f t="shared" si="25"/>
        <v>21.74877804</v>
      </c>
      <c r="J147" s="199">
        <f t="shared" si="26"/>
        <v>455.42527887999995</v>
      </c>
      <c r="L147" s="9"/>
      <c r="N147" s="254"/>
    </row>
    <row r="148" spans="1:14" ht="12.75">
      <c r="A148" s="78" t="s">
        <v>282</v>
      </c>
      <c r="B148" s="162" t="s">
        <v>269</v>
      </c>
      <c r="C148" s="159" t="s">
        <v>49</v>
      </c>
      <c r="D148" s="207">
        <v>4</v>
      </c>
      <c r="E148" s="201">
        <f>7.57*K1</f>
        <v>7.93055153</v>
      </c>
      <c r="F148" s="201">
        <f>5.19*K1</f>
        <v>5.43719451</v>
      </c>
      <c r="G148" s="201">
        <f t="shared" si="28"/>
        <v>13.36774604</v>
      </c>
      <c r="H148" s="199">
        <f t="shared" si="24"/>
        <v>31.72220612</v>
      </c>
      <c r="I148" s="199">
        <f t="shared" si="25"/>
        <v>21.74877804</v>
      </c>
      <c r="J148" s="199">
        <f t="shared" si="26"/>
        <v>53.47098416</v>
      </c>
      <c r="L148" s="9"/>
      <c r="N148" s="254"/>
    </row>
    <row r="149" spans="1:14" ht="25.5">
      <c r="A149" s="78" t="s">
        <v>283</v>
      </c>
      <c r="B149" s="162" t="s">
        <v>270</v>
      </c>
      <c r="C149" s="159" t="s">
        <v>49</v>
      </c>
      <c r="D149" s="207">
        <v>4</v>
      </c>
      <c r="E149" s="201">
        <f>71.52*K1</f>
        <v>74.92642607999998</v>
      </c>
      <c r="F149" s="201">
        <f>5.19*K1</f>
        <v>5.43719451</v>
      </c>
      <c r="G149" s="201">
        <f t="shared" si="28"/>
        <v>80.36362058999998</v>
      </c>
      <c r="H149" s="199">
        <f t="shared" si="24"/>
        <v>299.70570431999994</v>
      </c>
      <c r="I149" s="199">
        <f t="shared" si="25"/>
        <v>21.74877804</v>
      </c>
      <c r="J149" s="199">
        <f t="shared" si="26"/>
        <v>321.45448235999993</v>
      </c>
      <c r="L149" s="9"/>
      <c r="N149" s="254"/>
    </row>
    <row r="150" spans="1:14" ht="25.5">
      <c r="A150" s="78" t="s">
        <v>284</v>
      </c>
      <c r="B150" s="162" t="s">
        <v>271</v>
      </c>
      <c r="C150" s="159" t="s">
        <v>49</v>
      </c>
      <c r="D150" s="207">
        <v>2</v>
      </c>
      <c r="E150" s="201">
        <f>24.28*K1</f>
        <v>25.43643212</v>
      </c>
      <c r="F150" s="201">
        <f>5.19*K1</f>
        <v>5.43719451</v>
      </c>
      <c r="G150" s="201">
        <f t="shared" si="28"/>
        <v>30.87362663</v>
      </c>
      <c r="H150" s="199">
        <f t="shared" si="24"/>
        <v>50.87286424</v>
      </c>
      <c r="I150" s="199">
        <f t="shared" si="25"/>
        <v>10.87438902</v>
      </c>
      <c r="J150" s="199">
        <f t="shared" si="26"/>
        <v>61.74725326</v>
      </c>
      <c r="L150" s="9"/>
      <c r="N150" s="254"/>
    </row>
    <row r="151" spans="1:14" ht="12.75">
      <c r="A151" s="78" t="s">
        <v>285</v>
      </c>
      <c r="B151" s="162" t="s">
        <v>272</v>
      </c>
      <c r="C151" s="159" t="s">
        <v>49</v>
      </c>
      <c r="D151" s="207">
        <v>2</v>
      </c>
      <c r="E151" s="201">
        <f>98.73*K1</f>
        <v>103.43241117</v>
      </c>
      <c r="F151" s="201">
        <f>5.19*K1</f>
        <v>5.43719451</v>
      </c>
      <c r="G151" s="201">
        <f t="shared" si="28"/>
        <v>108.86960567999999</v>
      </c>
      <c r="H151" s="199">
        <f t="shared" si="24"/>
        <v>206.86482234</v>
      </c>
      <c r="I151" s="199">
        <f t="shared" si="25"/>
        <v>10.87438902</v>
      </c>
      <c r="J151" s="199">
        <f t="shared" si="26"/>
        <v>217.73921135999998</v>
      </c>
      <c r="L151" s="9"/>
      <c r="N151" s="254"/>
    </row>
    <row r="152" spans="1:14" ht="25.5">
      <c r="A152" s="78" t="s">
        <v>286</v>
      </c>
      <c r="B152" s="162" t="s">
        <v>273</v>
      </c>
      <c r="C152" s="159" t="s">
        <v>171</v>
      </c>
      <c r="D152" s="207">
        <v>4</v>
      </c>
      <c r="E152" s="201">
        <f>1240.97*K1</f>
        <v>1300.0761601299998</v>
      </c>
      <c r="F152" s="201">
        <f>122.24*K1</f>
        <v>128.06216895999998</v>
      </c>
      <c r="G152" s="201">
        <f t="shared" si="28"/>
        <v>1428.1383290899998</v>
      </c>
      <c r="H152" s="199">
        <f t="shared" si="24"/>
        <v>5200.304640519999</v>
      </c>
      <c r="I152" s="199">
        <f t="shared" si="25"/>
        <v>512.2486758399999</v>
      </c>
      <c r="J152" s="199">
        <f t="shared" si="26"/>
        <v>5712.553316359999</v>
      </c>
      <c r="L152" s="9"/>
      <c r="N152" s="254"/>
    </row>
    <row r="153" spans="1:14" ht="25.5">
      <c r="A153" s="78" t="s">
        <v>287</v>
      </c>
      <c r="B153" s="162" t="s">
        <v>274</v>
      </c>
      <c r="C153" s="159" t="s">
        <v>49</v>
      </c>
      <c r="D153" s="207">
        <v>2</v>
      </c>
      <c r="E153" s="201">
        <f>534.89*K1</f>
        <v>560.3662758099999</v>
      </c>
      <c r="F153" s="201">
        <f>45.84*K1</f>
        <v>48.02331336</v>
      </c>
      <c r="G153" s="201">
        <f t="shared" si="28"/>
        <v>608.3895891699999</v>
      </c>
      <c r="H153" s="199">
        <f t="shared" si="24"/>
        <v>1120.7325516199999</v>
      </c>
      <c r="I153" s="199">
        <f t="shared" si="25"/>
        <v>96.04662672</v>
      </c>
      <c r="J153" s="199">
        <f t="shared" si="26"/>
        <v>1216.7791783399998</v>
      </c>
      <c r="L153" s="9"/>
      <c r="N153" s="254"/>
    </row>
    <row r="154" spans="1:14" ht="25.5">
      <c r="A154" s="78" t="s">
        <v>288</v>
      </c>
      <c r="B154" s="162" t="s">
        <v>275</v>
      </c>
      <c r="C154" s="159" t="s">
        <v>49</v>
      </c>
      <c r="D154" s="207">
        <v>2</v>
      </c>
      <c r="E154" s="201">
        <f>108.43*K1</f>
        <v>113.59441247</v>
      </c>
      <c r="F154" s="201">
        <f>5.19*K1</f>
        <v>5.43719451</v>
      </c>
      <c r="G154" s="201">
        <f t="shared" si="28"/>
        <v>119.03160697999999</v>
      </c>
      <c r="H154" s="199">
        <f t="shared" si="24"/>
        <v>227.18882494</v>
      </c>
      <c r="I154" s="199">
        <f t="shared" si="25"/>
        <v>10.87438902</v>
      </c>
      <c r="J154" s="199">
        <f t="shared" si="26"/>
        <v>238.06321395999998</v>
      </c>
      <c r="L154" s="9"/>
      <c r="N154" s="254"/>
    </row>
    <row r="155" spans="1:14" ht="12.75">
      <c r="A155" s="78" t="s">
        <v>289</v>
      </c>
      <c r="B155" s="174" t="s">
        <v>276</v>
      </c>
      <c r="C155" s="159" t="s">
        <v>49</v>
      </c>
      <c r="D155" s="212">
        <v>2</v>
      </c>
      <c r="E155" s="201">
        <f>9.77*K1</f>
        <v>10.235335329999998</v>
      </c>
      <c r="F155" s="201">
        <f>29.4*K1</f>
        <v>30.800292599999995</v>
      </c>
      <c r="G155" s="201">
        <f t="shared" si="28"/>
        <v>41.03562792999999</v>
      </c>
      <c r="H155" s="199">
        <f t="shared" si="24"/>
        <v>20.470670659999996</v>
      </c>
      <c r="I155" s="199">
        <f t="shared" si="25"/>
        <v>61.60058519999999</v>
      </c>
      <c r="J155" s="199">
        <f t="shared" si="26"/>
        <v>82.07125585999998</v>
      </c>
      <c r="L155" s="9"/>
      <c r="N155" s="254"/>
    </row>
    <row r="156" spans="1:14" ht="25.5">
      <c r="A156" s="78" t="s">
        <v>290</v>
      </c>
      <c r="B156" s="175" t="s">
        <v>277</v>
      </c>
      <c r="C156" s="159" t="s">
        <v>49</v>
      </c>
      <c r="D156" s="197">
        <v>4</v>
      </c>
      <c r="E156" s="201">
        <f>531.18*K1</f>
        <v>556.4795722199999</v>
      </c>
      <c r="F156" s="201">
        <f>30.56*K1</f>
        <v>32.015542239999995</v>
      </c>
      <c r="G156" s="201">
        <f t="shared" si="28"/>
        <v>588.4951144599999</v>
      </c>
      <c r="H156" s="199">
        <f t="shared" si="24"/>
        <v>2225.9182888799996</v>
      </c>
      <c r="I156" s="199">
        <f t="shared" si="25"/>
        <v>128.06216895999998</v>
      </c>
      <c r="J156" s="199">
        <f t="shared" si="26"/>
        <v>2353.9804578399994</v>
      </c>
      <c r="L156" s="9"/>
      <c r="N156" s="254"/>
    </row>
    <row r="157" spans="1:14" ht="25.5">
      <c r="A157" s="78" t="s">
        <v>291</v>
      </c>
      <c r="B157" s="174" t="s">
        <v>278</v>
      </c>
      <c r="C157" s="159" t="s">
        <v>49</v>
      </c>
      <c r="D157" s="216">
        <v>1</v>
      </c>
      <c r="E157" s="257">
        <v>0</v>
      </c>
      <c r="F157" s="257">
        <f>3940*K1</f>
        <v>4127.658259999999</v>
      </c>
      <c r="G157" s="201">
        <f t="shared" si="28"/>
        <v>4127.658259999999</v>
      </c>
      <c r="H157" s="199">
        <f t="shared" si="24"/>
        <v>0</v>
      </c>
      <c r="I157" s="199">
        <f t="shared" si="25"/>
        <v>4127.658259999999</v>
      </c>
      <c r="J157" s="199">
        <f t="shared" si="26"/>
        <v>4127.658259999999</v>
      </c>
      <c r="L157" s="9"/>
      <c r="N157" s="254"/>
    </row>
    <row r="158" spans="1:14" ht="25.5">
      <c r="A158" s="78" t="s">
        <v>292</v>
      </c>
      <c r="B158" s="176" t="s">
        <v>279</v>
      </c>
      <c r="C158" s="177" t="s">
        <v>50</v>
      </c>
      <c r="D158" s="197">
        <v>10.45</v>
      </c>
      <c r="E158" s="201">
        <f>93.75*K1</f>
        <v>98.21521874999999</v>
      </c>
      <c r="F158" s="201">
        <f>40*K1</f>
        <v>41.905159999999995</v>
      </c>
      <c r="G158" s="201">
        <f t="shared" si="28"/>
        <v>140.12037875</v>
      </c>
      <c r="H158" s="199">
        <f t="shared" si="24"/>
        <v>1026.3490359374998</v>
      </c>
      <c r="I158" s="199">
        <f t="shared" si="25"/>
        <v>437.9089219999999</v>
      </c>
      <c r="J158" s="199">
        <f t="shared" si="26"/>
        <v>1464.2579579374997</v>
      </c>
      <c r="K158" s="1"/>
      <c r="L158" s="9"/>
      <c r="N158" s="254"/>
    </row>
    <row r="159" spans="1:14" ht="12.75">
      <c r="A159" s="72">
        <v>13</v>
      </c>
      <c r="B159" s="77" t="s">
        <v>293</v>
      </c>
      <c r="C159" s="171"/>
      <c r="D159" s="205"/>
      <c r="E159" s="205"/>
      <c r="F159" s="205"/>
      <c r="G159" s="205"/>
      <c r="H159" s="205"/>
      <c r="I159" s="205"/>
      <c r="J159" s="206"/>
      <c r="K159" s="1"/>
      <c r="L159" s="9"/>
      <c r="N159" s="254"/>
    </row>
    <row r="160" spans="1:14" ht="25.5">
      <c r="A160" s="78" t="s">
        <v>304</v>
      </c>
      <c r="B160" s="162" t="s">
        <v>294</v>
      </c>
      <c r="C160" s="159" t="s">
        <v>50</v>
      </c>
      <c r="D160" s="200">
        <v>993.6</v>
      </c>
      <c r="E160" s="200">
        <f>1.36*K1</f>
        <v>1.42477544</v>
      </c>
      <c r="F160" s="200">
        <f>6.04*K1</f>
        <v>6.32767916</v>
      </c>
      <c r="G160" s="207">
        <f>E160+F160</f>
        <v>7.7524546</v>
      </c>
      <c r="H160" s="199">
        <f t="shared" si="24"/>
        <v>1415.656877184</v>
      </c>
      <c r="I160" s="199">
        <f t="shared" si="25"/>
        <v>6287.182013376</v>
      </c>
      <c r="J160" s="199">
        <f t="shared" si="26"/>
        <v>7702.83889056</v>
      </c>
      <c r="L160" s="9"/>
      <c r="N160" s="254"/>
    </row>
    <row r="161" spans="1:14" ht="12.75">
      <c r="A161" s="78" t="s">
        <v>305</v>
      </c>
      <c r="B161" s="162" t="s">
        <v>295</v>
      </c>
      <c r="C161" s="159" t="s">
        <v>50</v>
      </c>
      <c r="D161" s="200">
        <v>6328.05</v>
      </c>
      <c r="E161" s="200">
        <f>1.36*K1</f>
        <v>1.42477544</v>
      </c>
      <c r="F161" s="200">
        <f>6.04*K1</f>
        <v>6.32767916</v>
      </c>
      <c r="G161" s="207">
        <f aca="true" t="shared" si="29" ref="G161:G169">E161+F161</f>
        <v>7.7524546</v>
      </c>
      <c r="H161" s="199">
        <f t="shared" si="24"/>
        <v>9016.050223092</v>
      </c>
      <c r="I161" s="199">
        <f t="shared" si="25"/>
        <v>40041.870108438</v>
      </c>
      <c r="J161" s="199">
        <f t="shared" si="26"/>
        <v>49057.92033153</v>
      </c>
      <c r="L161" s="9"/>
      <c r="N161" s="254"/>
    </row>
    <row r="162" spans="1:14" ht="25.5">
      <c r="A162" s="78" t="s">
        <v>306</v>
      </c>
      <c r="B162" s="162" t="s">
        <v>296</v>
      </c>
      <c r="C162" s="159" t="s">
        <v>50</v>
      </c>
      <c r="D162" s="200">
        <v>6328.05</v>
      </c>
      <c r="E162" s="201">
        <f>4.1*K1</f>
        <v>4.2952789</v>
      </c>
      <c r="F162" s="201">
        <f>11.32*K1</f>
        <v>11.85916028</v>
      </c>
      <c r="G162" s="207">
        <f t="shared" si="29"/>
        <v>16.154439179999997</v>
      </c>
      <c r="H162" s="199">
        <f t="shared" si="24"/>
        <v>27180.739643145</v>
      </c>
      <c r="I162" s="199">
        <f t="shared" si="25"/>
        <v>75045.359209854</v>
      </c>
      <c r="J162" s="199">
        <f t="shared" si="26"/>
        <v>102226.098852999</v>
      </c>
      <c r="L162" s="9"/>
      <c r="N162" s="254"/>
    </row>
    <row r="163" spans="1:14" ht="25.5">
      <c r="A163" s="78" t="s">
        <v>307</v>
      </c>
      <c r="B163" s="162" t="s">
        <v>297</v>
      </c>
      <c r="C163" s="159" t="s">
        <v>50</v>
      </c>
      <c r="D163" s="200">
        <v>4989.75</v>
      </c>
      <c r="E163" s="201">
        <f>4.1*K1</f>
        <v>4.2952789</v>
      </c>
      <c r="F163" s="201">
        <f>11.32*K1</f>
        <v>11.85916028</v>
      </c>
      <c r="G163" s="207">
        <f t="shared" si="29"/>
        <v>16.154439179999997</v>
      </c>
      <c r="H163" s="199">
        <f t="shared" si="24"/>
        <v>21432.367891274997</v>
      </c>
      <c r="I163" s="199">
        <f t="shared" si="25"/>
        <v>59174.24500713</v>
      </c>
      <c r="J163" s="199">
        <f t="shared" si="26"/>
        <v>80606.612898405</v>
      </c>
      <c r="L163" s="9"/>
      <c r="N163" s="254"/>
    </row>
    <row r="164" spans="1:14" ht="25.5">
      <c r="A164" s="78" t="s">
        <v>308</v>
      </c>
      <c r="B164" s="162" t="s">
        <v>298</v>
      </c>
      <c r="C164" s="159" t="s">
        <v>50</v>
      </c>
      <c r="D164" s="200">
        <v>3002.4</v>
      </c>
      <c r="E164" s="201">
        <f>4.1*K1</f>
        <v>4.2952789</v>
      </c>
      <c r="F164" s="201">
        <f>11.32*K1</f>
        <v>11.85916028</v>
      </c>
      <c r="G164" s="207">
        <f t="shared" si="29"/>
        <v>16.154439179999997</v>
      </c>
      <c r="H164" s="199">
        <f t="shared" si="24"/>
        <v>12896.14536936</v>
      </c>
      <c r="I164" s="199">
        <f t="shared" si="25"/>
        <v>35605.942824672</v>
      </c>
      <c r="J164" s="199">
        <f t="shared" si="26"/>
        <v>48502.088194031996</v>
      </c>
      <c r="L164" s="9"/>
      <c r="N164" s="254"/>
    </row>
    <row r="165" spans="1:14" ht="25.5">
      <c r="A165" s="78" t="s">
        <v>309</v>
      </c>
      <c r="B165" s="162" t="s">
        <v>299</v>
      </c>
      <c r="C165" s="159" t="s">
        <v>50</v>
      </c>
      <c r="D165" s="200">
        <v>1704.73</v>
      </c>
      <c r="E165" s="201">
        <f>4.1*K1</f>
        <v>4.2952789</v>
      </c>
      <c r="F165" s="201">
        <f>11.32*K1</f>
        <v>11.85916028</v>
      </c>
      <c r="G165" s="207">
        <f t="shared" si="29"/>
        <v>16.154439179999997</v>
      </c>
      <c r="H165" s="199">
        <f t="shared" si="24"/>
        <v>7322.290799197</v>
      </c>
      <c r="I165" s="199">
        <f t="shared" si="25"/>
        <v>20216.6663041244</v>
      </c>
      <c r="J165" s="199">
        <f t="shared" si="26"/>
        <v>27538.957103321398</v>
      </c>
      <c r="L165" s="9"/>
      <c r="N165" s="254"/>
    </row>
    <row r="166" spans="1:14" ht="25.5">
      <c r="A166" s="78" t="s">
        <v>310</v>
      </c>
      <c r="B166" s="162" t="s">
        <v>300</v>
      </c>
      <c r="C166" s="157" t="s">
        <v>50</v>
      </c>
      <c r="D166" s="200">
        <v>172</v>
      </c>
      <c r="E166" s="208">
        <f>11.56*K1</f>
        <v>12.11059124</v>
      </c>
      <c r="F166" s="208">
        <f>13.24*K1</f>
        <v>13.87060796</v>
      </c>
      <c r="G166" s="207">
        <f t="shared" si="29"/>
        <v>25.9811992</v>
      </c>
      <c r="H166" s="199">
        <f t="shared" si="24"/>
        <v>2083.02169328</v>
      </c>
      <c r="I166" s="199">
        <f t="shared" si="25"/>
        <v>2385.74456912</v>
      </c>
      <c r="J166" s="199">
        <f t="shared" si="26"/>
        <v>4468.7662624</v>
      </c>
      <c r="L166" s="9"/>
      <c r="N166" s="254"/>
    </row>
    <row r="167" spans="1:14" ht="25.5">
      <c r="A167" s="78" t="s">
        <v>311</v>
      </c>
      <c r="B167" s="162" t="s">
        <v>301</v>
      </c>
      <c r="C167" s="159" t="s">
        <v>50</v>
      </c>
      <c r="D167" s="200">
        <v>1016.67</v>
      </c>
      <c r="E167" s="201">
        <f>8.13*K1</f>
        <v>8.51722377</v>
      </c>
      <c r="F167" s="201">
        <f>15.84*K1</f>
        <v>16.59444336</v>
      </c>
      <c r="G167" s="207">
        <f t="shared" si="29"/>
        <v>25.11166713</v>
      </c>
      <c r="H167" s="199">
        <f t="shared" si="24"/>
        <v>8659.2058902459</v>
      </c>
      <c r="I167" s="199">
        <f t="shared" si="25"/>
        <v>16871.0727308112</v>
      </c>
      <c r="J167" s="199">
        <f t="shared" si="26"/>
        <v>25530.2786210571</v>
      </c>
      <c r="L167" s="9"/>
      <c r="N167" s="254"/>
    </row>
    <row r="168" spans="1:14" ht="12.75">
      <c r="A168" s="78" t="s">
        <v>312</v>
      </c>
      <c r="B168" s="162" t="s">
        <v>302</v>
      </c>
      <c r="C168" s="159" t="s">
        <v>50</v>
      </c>
      <c r="D168" s="200">
        <v>1.2</v>
      </c>
      <c r="E168" s="201">
        <f>8.13*K1</f>
        <v>8.51722377</v>
      </c>
      <c r="F168" s="201">
        <f>15.84*K1</f>
        <v>16.59444336</v>
      </c>
      <c r="G168" s="207">
        <f t="shared" si="29"/>
        <v>25.11166713</v>
      </c>
      <c r="H168" s="199">
        <f>D168*E168</f>
        <v>10.220668523999999</v>
      </c>
      <c r="I168" s="199">
        <f>D168*F168</f>
        <v>19.913332032</v>
      </c>
      <c r="J168" s="199">
        <f>I168+H168</f>
        <v>30.134000555999997</v>
      </c>
      <c r="L168" s="9"/>
      <c r="N168" s="254"/>
    </row>
    <row r="169" spans="1:14" ht="12.75">
      <c r="A169" s="78" t="s">
        <v>313</v>
      </c>
      <c r="B169" s="162" t="s">
        <v>303</v>
      </c>
      <c r="C169" s="159" t="s">
        <v>50</v>
      </c>
      <c r="D169" s="200">
        <v>7.25</v>
      </c>
      <c r="E169" s="201">
        <f>8.13*K1</f>
        <v>8.51722377</v>
      </c>
      <c r="F169" s="201">
        <f>15.84*K1</f>
        <v>16.59444336</v>
      </c>
      <c r="G169" s="207">
        <f t="shared" si="29"/>
        <v>25.11166713</v>
      </c>
      <c r="H169" s="199">
        <f>D169*E169</f>
        <v>61.7498723325</v>
      </c>
      <c r="I169" s="199">
        <f>D169*F169</f>
        <v>120.30971436</v>
      </c>
      <c r="J169" s="199">
        <f>I169+H169</f>
        <v>182.0595866925</v>
      </c>
      <c r="K169" s="1"/>
      <c r="L169" s="9"/>
      <c r="N169" s="254"/>
    </row>
    <row r="170" spans="1:14" ht="12.75">
      <c r="A170" s="72">
        <v>14</v>
      </c>
      <c r="B170" s="77" t="s">
        <v>314</v>
      </c>
      <c r="C170" s="171"/>
      <c r="D170" s="205"/>
      <c r="E170" s="205"/>
      <c r="F170" s="205"/>
      <c r="G170" s="205"/>
      <c r="H170" s="205"/>
      <c r="I170" s="205"/>
      <c r="J170" s="206"/>
      <c r="L170" s="9"/>
      <c r="N170" s="254"/>
    </row>
    <row r="171" spans="1:14" ht="12.75">
      <c r="A171" s="155" t="s">
        <v>315</v>
      </c>
      <c r="B171" s="153" t="s">
        <v>317</v>
      </c>
      <c r="C171" s="80"/>
      <c r="D171" s="199"/>
      <c r="E171" s="199"/>
      <c r="F171" s="199"/>
      <c r="G171" s="199"/>
      <c r="H171" s="199"/>
      <c r="I171" s="199"/>
      <c r="J171" s="199"/>
      <c r="L171" s="9"/>
      <c r="N171" s="254"/>
    </row>
    <row r="172" spans="1:14" ht="25.5">
      <c r="A172" s="78" t="s">
        <v>316</v>
      </c>
      <c r="B172" s="178" t="s">
        <v>318</v>
      </c>
      <c r="C172" s="159" t="s">
        <v>49</v>
      </c>
      <c r="D172" s="197">
        <v>6</v>
      </c>
      <c r="E172" s="255">
        <f>501.47*K1</f>
        <v>525.35451463</v>
      </c>
      <c r="F172" s="255">
        <f>1.63*K1</f>
        <v>1.7076352699999997</v>
      </c>
      <c r="G172" s="255">
        <f>E172+F172</f>
        <v>527.0621499</v>
      </c>
      <c r="H172" s="199">
        <f aca="true" t="shared" si="30" ref="H172:H187">D172*E172</f>
        <v>3152.1270877800002</v>
      </c>
      <c r="I172" s="199">
        <f aca="true" t="shared" si="31" ref="I172:I187">D172*F172</f>
        <v>10.245811619999998</v>
      </c>
      <c r="J172" s="199">
        <f aca="true" t="shared" si="32" ref="J172:J187">I172+H172</f>
        <v>3162.3728994000003</v>
      </c>
      <c r="L172" s="9"/>
      <c r="N172" s="254"/>
    </row>
    <row r="173" spans="1:14" ht="25.5">
      <c r="A173" s="78" t="s">
        <v>337</v>
      </c>
      <c r="B173" s="162" t="s">
        <v>319</v>
      </c>
      <c r="C173" s="159" t="s">
        <v>49</v>
      </c>
      <c r="D173" s="200">
        <v>6</v>
      </c>
      <c r="E173" s="200">
        <f>675.64*K1</f>
        <v>707.8200575599999</v>
      </c>
      <c r="F173" s="200">
        <f>38.45*K1</f>
        <v>40.28133505</v>
      </c>
      <c r="G173" s="255">
        <f aca="true" t="shared" si="33" ref="G173:G190">E173+F173</f>
        <v>748.10139261</v>
      </c>
      <c r="H173" s="199">
        <f t="shared" si="30"/>
        <v>4246.920345359999</v>
      </c>
      <c r="I173" s="199">
        <f t="shared" si="31"/>
        <v>241.68801030000003</v>
      </c>
      <c r="J173" s="199">
        <f t="shared" si="32"/>
        <v>4488.60835566</v>
      </c>
      <c r="L173" s="9"/>
      <c r="N173" s="254"/>
    </row>
    <row r="174" spans="1:14" ht="25.5">
      <c r="A174" s="78" t="s">
        <v>338</v>
      </c>
      <c r="B174" s="152" t="s">
        <v>320</v>
      </c>
      <c r="C174" s="159" t="s">
        <v>49</v>
      </c>
      <c r="D174" s="200">
        <v>6</v>
      </c>
      <c r="E174" s="200">
        <f>416.07*K1</f>
        <v>435.88699803</v>
      </c>
      <c r="F174" s="200">
        <f>33.02*K1</f>
        <v>34.59270958</v>
      </c>
      <c r="G174" s="255">
        <f t="shared" si="33"/>
        <v>470.47970761</v>
      </c>
      <c r="H174" s="199">
        <f t="shared" si="30"/>
        <v>2615.3219881799996</v>
      </c>
      <c r="I174" s="199">
        <f t="shared" si="31"/>
        <v>207.55625748</v>
      </c>
      <c r="J174" s="199">
        <f t="shared" si="32"/>
        <v>2822.8782456599997</v>
      </c>
      <c r="L174" s="9"/>
      <c r="N174" s="254"/>
    </row>
    <row r="175" spans="1:14" ht="25.5">
      <c r="A175" s="78" t="s">
        <v>339</v>
      </c>
      <c r="B175" s="152" t="s">
        <v>321</v>
      </c>
      <c r="C175" s="159" t="s">
        <v>49</v>
      </c>
      <c r="D175" s="197">
        <v>12</v>
      </c>
      <c r="E175" s="201">
        <v>9.24</v>
      </c>
      <c r="F175" s="201">
        <v>106.77</v>
      </c>
      <c r="G175" s="255">
        <f>F175+E175</f>
        <v>116.00999999999999</v>
      </c>
      <c r="H175" s="199">
        <f t="shared" si="30"/>
        <v>110.88</v>
      </c>
      <c r="I175" s="199">
        <f t="shared" si="31"/>
        <v>1281.24</v>
      </c>
      <c r="J175" s="199">
        <f t="shared" si="32"/>
        <v>1392.12</v>
      </c>
      <c r="L175" s="9"/>
      <c r="N175" s="254"/>
    </row>
    <row r="176" spans="1:14" ht="25.5">
      <c r="A176" s="78" t="s">
        <v>340</v>
      </c>
      <c r="B176" s="151" t="s">
        <v>322</v>
      </c>
      <c r="C176" s="159" t="s">
        <v>49</v>
      </c>
      <c r="D176" s="197">
        <v>6</v>
      </c>
      <c r="E176" s="201">
        <f>363*K1</f>
        <v>380.28932699999996</v>
      </c>
      <c r="F176" s="201">
        <f>13.22*K1</f>
        <v>13.84965538</v>
      </c>
      <c r="G176" s="255">
        <f t="shared" si="33"/>
        <v>394.13898237999996</v>
      </c>
      <c r="H176" s="199">
        <f t="shared" si="30"/>
        <v>2281.7359619999997</v>
      </c>
      <c r="I176" s="199">
        <f t="shared" si="31"/>
        <v>83.09793228</v>
      </c>
      <c r="J176" s="199">
        <f t="shared" si="32"/>
        <v>2364.8338942799996</v>
      </c>
      <c r="L176" s="9"/>
      <c r="N176" s="254"/>
    </row>
    <row r="177" spans="1:14" ht="25.5">
      <c r="A177" s="78" t="s">
        <v>341</v>
      </c>
      <c r="B177" s="156" t="s">
        <v>323</v>
      </c>
      <c r="C177" s="159" t="s">
        <v>49</v>
      </c>
      <c r="D177" s="198">
        <v>2</v>
      </c>
      <c r="E177" s="198">
        <f>1087.41*K1</f>
        <v>1139.20225089</v>
      </c>
      <c r="F177" s="198">
        <f>211.62*K1</f>
        <v>221.69924898</v>
      </c>
      <c r="G177" s="255">
        <f t="shared" si="33"/>
        <v>1360.90149987</v>
      </c>
      <c r="H177" s="199">
        <f t="shared" si="30"/>
        <v>2278.40450178</v>
      </c>
      <c r="I177" s="199">
        <f t="shared" si="31"/>
        <v>443.39849796</v>
      </c>
      <c r="J177" s="199">
        <f t="shared" si="32"/>
        <v>2721.80299974</v>
      </c>
      <c r="L177" s="9"/>
      <c r="N177" s="254"/>
    </row>
    <row r="178" spans="1:14" ht="12.75">
      <c r="A178" s="78" t="s">
        <v>342</v>
      </c>
      <c r="B178" s="150" t="s">
        <v>324</v>
      </c>
      <c r="C178" s="157" t="s">
        <v>171</v>
      </c>
      <c r="D178" s="198">
        <v>25</v>
      </c>
      <c r="E178" s="198">
        <f>343.79*K1</f>
        <v>360.16437391</v>
      </c>
      <c r="F178" s="198">
        <f>35.2*K1</f>
        <v>36.8765408</v>
      </c>
      <c r="G178" s="255">
        <f>E178+F178</f>
        <v>397.04091471</v>
      </c>
      <c r="H178" s="199">
        <f t="shared" si="30"/>
        <v>9004.10934775</v>
      </c>
      <c r="I178" s="199">
        <f t="shared" si="31"/>
        <v>921.9135200000001</v>
      </c>
      <c r="J178" s="199">
        <f t="shared" si="32"/>
        <v>9926.02286775</v>
      </c>
      <c r="L178" s="9"/>
      <c r="N178" s="254"/>
    </row>
    <row r="179" spans="1:14" ht="12.75">
      <c r="A179" s="78" t="s">
        <v>343</v>
      </c>
      <c r="B179" s="162" t="s">
        <v>325</v>
      </c>
      <c r="C179" s="159" t="s">
        <v>49</v>
      </c>
      <c r="D179" s="200">
        <v>8</v>
      </c>
      <c r="E179" s="200">
        <f>255.38*K1</f>
        <v>267.54349401999997</v>
      </c>
      <c r="F179" s="200">
        <f>38.45*K1</f>
        <v>40.28133505</v>
      </c>
      <c r="G179" s="255">
        <f t="shared" si="33"/>
        <v>307.82482906999996</v>
      </c>
      <c r="H179" s="199">
        <f t="shared" si="30"/>
        <v>2140.3479521599997</v>
      </c>
      <c r="I179" s="199">
        <f t="shared" si="31"/>
        <v>322.2506804</v>
      </c>
      <c r="J179" s="199">
        <f t="shared" si="32"/>
        <v>2462.5986325599997</v>
      </c>
      <c r="L179" s="9"/>
      <c r="N179" s="254"/>
    </row>
    <row r="180" spans="1:14" ht="12.75">
      <c r="A180" s="78" t="s">
        <v>344</v>
      </c>
      <c r="B180" s="162" t="s">
        <v>326</v>
      </c>
      <c r="C180" s="159" t="s">
        <v>49</v>
      </c>
      <c r="D180" s="200">
        <v>8</v>
      </c>
      <c r="E180" s="200">
        <f>172.68*K1</f>
        <v>180.90457572</v>
      </c>
      <c r="F180" s="200">
        <f>16.56*K1</f>
        <v>17.348736239999997</v>
      </c>
      <c r="G180" s="255">
        <f t="shared" si="33"/>
        <v>198.25331196</v>
      </c>
      <c r="H180" s="199">
        <f t="shared" si="30"/>
        <v>1447.23660576</v>
      </c>
      <c r="I180" s="199">
        <f t="shared" si="31"/>
        <v>138.78988991999998</v>
      </c>
      <c r="J180" s="199">
        <f t="shared" si="32"/>
        <v>1586.02649568</v>
      </c>
      <c r="L180" s="9"/>
      <c r="N180" s="254"/>
    </row>
    <row r="181" spans="1:14" ht="12.75">
      <c r="A181" s="78" t="s">
        <v>345</v>
      </c>
      <c r="B181" s="150" t="s">
        <v>327</v>
      </c>
      <c r="C181" s="159" t="s">
        <v>49</v>
      </c>
      <c r="D181" s="198">
        <v>19</v>
      </c>
      <c r="E181" s="198">
        <f>66.26*K1</f>
        <v>69.41589754</v>
      </c>
      <c r="F181" s="198">
        <f>14.71*K1</f>
        <v>15.41062259</v>
      </c>
      <c r="G181" s="255">
        <f t="shared" si="33"/>
        <v>84.82652013</v>
      </c>
      <c r="H181" s="199">
        <f t="shared" si="30"/>
        <v>1318.90205326</v>
      </c>
      <c r="I181" s="199">
        <f t="shared" si="31"/>
        <v>292.80182921</v>
      </c>
      <c r="J181" s="199">
        <f t="shared" si="32"/>
        <v>1611.70388247</v>
      </c>
      <c r="L181" s="9"/>
      <c r="N181" s="254"/>
    </row>
    <row r="182" spans="1:14" ht="25.5">
      <c r="A182" s="78" t="s">
        <v>346</v>
      </c>
      <c r="B182" s="162" t="s">
        <v>328</v>
      </c>
      <c r="C182" s="159" t="s">
        <v>49</v>
      </c>
      <c r="D182" s="200">
        <v>19</v>
      </c>
      <c r="E182" s="200">
        <f>167.64*K1</f>
        <v>175.62452555999997</v>
      </c>
      <c r="F182" s="200">
        <f>10.45*K1</f>
        <v>10.947723049999999</v>
      </c>
      <c r="G182" s="255">
        <f t="shared" si="33"/>
        <v>186.57224860999997</v>
      </c>
      <c r="H182" s="199">
        <f t="shared" si="30"/>
        <v>3336.8659856399995</v>
      </c>
      <c r="I182" s="199">
        <f t="shared" si="31"/>
        <v>208.00673794999997</v>
      </c>
      <c r="J182" s="199">
        <f t="shared" si="32"/>
        <v>3544.8727235899996</v>
      </c>
      <c r="L182" s="9"/>
      <c r="N182" s="254"/>
    </row>
    <row r="183" spans="1:14" ht="25.5">
      <c r="A183" s="78" t="s">
        <v>347</v>
      </c>
      <c r="B183" s="162" t="s">
        <v>329</v>
      </c>
      <c r="C183" s="159" t="s">
        <v>49</v>
      </c>
      <c r="D183" s="200">
        <v>8</v>
      </c>
      <c r="E183" s="200">
        <f>159.19*K1</f>
        <v>166.77206051</v>
      </c>
      <c r="F183" s="200">
        <f>3.4*K1</f>
        <v>3.5619385999999995</v>
      </c>
      <c r="G183" s="255">
        <f t="shared" si="33"/>
        <v>170.33399910999998</v>
      </c>
      <c r="H183" s="199">
        <f t="shared" si="30"/>
        <v>1334.17648408</v>
      </c>
      <c r="I183" s="199">
        <f t="shared" si="31"/>
        <v>28.495508799999996</v>
      </c>
      <c r="J183" s="199">
        <f t="shared" si="32"/>
        <v>1362.6719928799998</v>
      </c>
      <c r="L183" s="9"/>
      <c r="N183" s="254"/>
    </row>
    <row r="184" spans="1:14" ht="25.5">
      <c r="A184" s="78" t="s">
        <v>348</v>
      </c>
      <c r="B184" s="162" t="s">
        <v>330</v>
      </c>
      <c r="C184" s="159" t="s">
        <v>49</v>
      </c>
      <c r="D184" s="200">
        <v>31</v>
      </c>
      <c r="E184" s="200">
        <f>32.41*K1</f>
        <v>33.95365588999999</v>
      </c>
      <c r="F184" s="200">
        <f>3.4*K1</f>
        <v>3.5619385999999995</v>
      </c>
      <c r="G184" s="255">
        <f t="shared" si="33"/>
        <v>37.51559448999999</v>
      </c>
      <c r="H184" s="199">
        <f t="shared" si="30"/>
        <v>1052.5633325899998</v>
      </c>
      <c r="I184" s="199">
        <f t="shared" si="31"/>
        <v>110.42009659999998</v>
      </c>
      <c r="J184" s="199">
        <f t="shared" si="32"/>
        <v>1162.98342919</v>
      </c>
      <c r="L184" s="9"/>
      <c r="N184" s="254"/>
    </row>
    <row r="185" spans="1:14" ht="12.75">
      <c r="A185" s="78" t="s">
        <v>349</v>
      </c>
      <c r="B185" s="152" t="s">
        <v>331</v>
      </c>
      <c r="C185" s="159" t="s">
        <v>49</v>
      </c>
      <c r="D185" s="200">
        <v>16</v>
      </c>
      <c r="E185" s="200">
        <f>20.31*K1</f>
        <v>21.277344989999996</v>
      </c>
      <c r="F185" s="200">
        <f>3.4*K1</f>
        <v>3.5619385999999995</v>
      </c>
      <c r="G185" s="255">
        <f t="shared" si="33"/>
        <v>24.839283589999994</v>
      </c>
      <c r="H185" s="199">
        <f t="shared" si="30"/>
        <v>340.43751983999994</v>
      </c>
      <c r="I185" s="199">
        <f t="shared" si="31"/>
        <v>56.99101759999999</v>
      </c>
      <c r="J185" s="199">
        <f t="shared" si="32"/>
        <v>397.4285374399999</v>
      </c>
      <c r="L185" s="9"/>
      <c r="N185" s="254"/>
    </row>
    <row r="186" spans="1:14" ht="12.75">
      <c r="A186" s="78" t="s">
        <v>350</v>
      </c>
      <c r="B186" s="156" t="s">
        <v>332</v>
      </c>
      <c r="C186" s="159" t="s">
        <v>49</v>
      </c>
      <c r="D186" s="198">
        <v>90</v>
      </c>
      <c r="E186" s="198">
        <f>64.83*K1</f>
        <v>67.91778806999999</v>
      </c>
      <c r="F186" s="198">
        <f>14.71*K1</f>
        <v>15.41062259</v>
      </c>
      <c r="G186" s="255">
        <f t="shared" si="33"/>
        <v>83.32841065999999</v>
      </c>
      <c r="H186" s="199">
        <f t="shared" si="30"/>
        <v>6112.600926299999</v>
      </c>
      <c r="I186" s="199">
        <f t="shared" si="31"/>
        <v>1386.9560331</v>
      </c>
      <c r="J186" s="199">
        <f t="shared" si="32"/>
        <v>7499.556959399999</v>
      </c>
      <c r="L186" s="9"/>
      <c r="N186" s="254"/>
    </row>
    <row r="187" spans="1:14" ht="25.5">
      <c r="A187" s="78" t="s">
        <v>351</v>
      </c>
      <c r="B187" s="156" t="s">
        <v>333</v>
      </c>
      <c r="C187" s="159" t="s">
        <v>49</v>
      </c>
      <c r="D187" s="198">
        <v>90</v>
      </c>
      <c r="E187" s="198">
        <f>99.79*K1</f>
        <v>104.54289791</v>
      </c>
      <c r="F187" s="198">
        <f>11.14*K1</f>
        <v>11.670587059999999</v>
      </c>
      <c r="G187" s="255">
        <f t="shared" si="33"/>
        <v>116.21348497</v>
      </c>
      <c r="H187" s="199">
        <f t="shared" si="30"/>
        <v>9408.8608119</v>
      </c>
      <c r="I187" s="199">
        <f t="shared" si="31"/>
        <v>1050.3528354</v>
      </c>
      <c r="J187" s="199">
        <f t="shared" si="32"/>
        <v>10459.2136473</v>
      </c>
      <c r="L187" s="9"/>
      <c r="N187" s="254"/>
    </row>
    <row r="188" spans="1:14" ht="12.75">
      <c r="A188" s="78" t="s">
        <v>352</v>
      </c>
      <c r="B188" s="156" t="s">
        <v>334</v>
      </c>
      <c r="C188" s="159" t="s">
        <v>49</v>
      </c>
      <c r="D188" s="198">
        <v>4</v>
      </c>
      <c r="E188" s="198">
        <f>50.67*K1</f>
        <v>53.08336143</v>
      </c>
      <c r="F188" s="198">
        <f>14.71*K1</f>
        <v>15.41062259</v>
      </c>
      <c r="G188" s="255">
        <f t="shared" si="33"/>
        <v>68.49398402</v>
      </c>
      <c r="H188" s="199">
        <f aca="true" t="shared" si="34" ref="H188:H227">D188*E188</f>
        <v>212.33344572</v>
      </c>
      <c r="I188" s="199">
        <f aca="true" t="shared" si="35" ref="I188:I227">D188*F188</f>
        <v>61.64249036</v>
      </c>
      <c r="J188" s="199">
        <f aca="true" t="shared" si="36" ref="J188:J227">I188+H188</f>
        <v>273.97593608</v>
      </c>
      <c r="L188" s="9"/>
      <c r="N188" s="254"/>
    </row>
    <row r="189" spans="1:14" ht="25.5">
      <c r="A189" s="78" t="s">
        <v>353</v>
      </c>
      <c r="B189" s="152" t="s">
        <v>335</v>
      </c>
      <c r="C189" s="159" t="s">
        <v>49</v>
      </c>
      <c r="D189" s="200">
        <v>14</v>
      </c>
      <c r="E189" s="200">
        <f>24.68*K1</f>
        <v>25.85548372</v>
      </c>
      <c r="F189" s="200">
        <f>9.61*K1</f>
        <v>10.067714689999999</v>
      </c>
      <c r="G189" s="255">
        <f t="shared" si="33"/>
        <v>35.92319841</v>
      </c>
      <c r="H189" s="199">
        <f t="shared" si="34"/>
        <v>361.97677208</v>
      </c>
      <c r="I189" s="199">
        <f t="shared" si="35"/>
        <v>140.94800565999998</v>
      </c>
      <c r="J189" s="199">
        <f t="shared" si="36"/>
        <v>502.92477773999997</v>
      </c>
      <c r="L189" s="9"/>
      <c r="N189" s="254"/>
    </row>
    <row r="190" spans="1:14" ht="12.75">
      <c r="A190" s="78" t="s">
        <v>354</v>
      </c>
      <c r="B190" s="162" t="s">
        <v>336</v>
      </c>
      <c r="C190" s="159" t="s">
        <v>49</v>
      </c>
      <c r="D190" s="200">
        <v>14</v>
      </c>
      <c r="E190" s="200">
        <f>403.55*K1</f>
        <v>422.77068295</v>
      </c>
      <c r="F190" s="200">
        <f>13.8*K1</f>
        <v>14.4572802</v>
      </c>
      <c r="G190" s="255">
        <f t="shared" si="33"/>
        <v>437.22796315</v>
      </c>
      <c r="H190" s="199">
        <f t="shared" si="34"/>
        <v>5918.7895613</v>
      </c>
      <c r="I190" s="199">
        <f t="shared" si="35"/>
        <v>202.4019228</v>
      </c>
      <c r="J190" s="199">
        <f t="shared" si="36"/>
        <v>6121.1914841</v>
      </c>
      <c r="K190" s="1"/>
      <c r="L190" s="9"/>
      <c r="N190" s="254"/>
    </row>
    <row r="191" spans="1:14" ht="12.75">
      <c r="A191" s="155" t="s">
        <v>355</v>
      </c>
      <c r="B191" s="153" t="s">
        <v>356</v>
      </c>
      <c r="C191" s="80"/>
      <c r="D191" s="199"/>
      <c r="E191" s="199"/>
      <c r="F191" s="199"/>
      <c r="G191" s="199"/>
      <c r="H191" s="199"/>
      <c r="I191" s="199"/>
      <c r="J191" s="199"/>
      <c r="L191" s="9"/>
      <c r="N191" s="254"/>
    </row>
    <row r="192" spans="1:14" ht="25.5">
      <c r="A192" s="78" t="s">
        <v>374</v>
      </c>
      <c r="B192" s="179" t="s">
        <v>357</v>
      </c>
      <c r="C192" s="172" t="s">
        <v>51</v>
      </c>
      <c r="D192" s="210">
        <v>29.5</v>
      </c>
      <c r="E192" s="214">
        <v>0</v>
      </c>
      <c r="F192" s="201">
        <f>28.05*K1</f>
        <v>29.385993449999997</v>
      </c>
      <c r="G192" s="201">
        <f>E192+F192</f>
        <v>29.385993449999997</v>
      </c>
      <c r="H192" s="199">
        <f t="shared" si="34"/>
        <v>0</v>
      </c>
      <c r="I192" s="199">
        <f t="shared" si="35"/>
        <v>866.886806775</v>
      </c>
      <c r="J192" s="199">
        <f t="shared" si="36"/>
        <v>866.886806775</v>
      </c>
      <c r="K192" s="1"/>
      <c r="L192" s="9"/>
      <c r="N192" s="254"/>
    </row>
    <row r="193" spans="1:14" ht="12.75">
      <c r="A193" s="78" t="s">
        <v>375</v>
      </c>
      <c r="B193" s="151" t="s">
        <v>88</v>
      </c>
      <c r="C193" s="158" t="s">
        <v>51</v>
      </c>
      <c r="D193" s="217">
        <v>29.5</v>
      </c>
      <c r="E193" s="201">
        <v>0</v>
      </c>
      <c r="F193" s="201">
        <f>10.46*K1</f>
        <v>10.95819934</v>
      </c>
      <c r="G193" s="201">
        <f aca="true" t="shared" si="37" ref="G193:G209">E193+F193</f>
        <v>10.95819934</v>
      </c>
      <c r="H193" s="199">
        <f t="shared" si="34"/>
        <v>0</v>
      </c>
      <c r="I193" s="199">
        <f t="shared" si="35"/>
        <v>323.26688053</v>
      </c>
      <c r="J193" s="199">
        <f t="shared" si="36"/>
        <v>323.26688053</v>
      </c>
      <c r="L193" s="9"/>
      <c r="N193" s="254"/>
    </row>
    <row r="194" spans="1:14" ht="25.5">
      <c r="A194" s="78" t="s">
        <v>376</v>
      </c>
      <c r="B194" s="151" t="s">
        <v>358</v>
      </c>
      <c r="C194" s="158" t="s">
        <v>81</v>
      </c>
      <c r="D194" s="201">
        <v>1400</v>
      </c>
      <c r="E194" s="201">
        <f>3.53*K1</f>
        <v>3.6981303699999994</v>
      </c>
      <c r="F194" s="201">
        <f>14.71*K1</f>
        <v>15.41062259</v>
      </c>
      <c r="G194" s="201">
        <f t="shared" si="37"/>
        <v>19.108752959999997</v>
      </c>
      <c r="H194" s="199">
        <f t="shared" si="34"/>
        <v>5177.382517999999</v>
      </c>
      <c r="I194" s="199">
        <f t="shared" si="35"/>
        <v>21574.871626</v>
      </c>
      <c r="J194" s="199">
        <f t="shared" si="36"/>
        <v>26752.254144</v>
      </c>
      <c r="L194" s="9"/>
      <c r="N194" s="254"/>
    </row>
    <row r="195" spans="1:14" ht="25.5">
      <c r="A195" s="78" t="s">
        <v>377</v>
      </c>
      <c r="B195" s="151" t="s">
        <v>359</v>
      </c>
      <c r="C195" s="158" t="s">
        <v>81</v>
      </c>
      <c r="D195" s="201">
        <v>190</v>
      </c>
      <c r="E195" s="201">
        <f>7.09*K1</f>
        <v>7.427689609999999</v>
      </c>
      <c r="F195" s="201">
        <f>14.71*K1</f>
        <v>15.41062259</v>
      </c>
      <c r="G195" s="201">
        <f t="shared" si="37"/>
        <v>22.838312199999997</v>
      </c>
      <c r="H195" s="199">
        <f t="shared" si="34"/>
        <v>1411.2610258999998</v>
      </c>
      <c r="I195" s="199">
        <f t="shared" si="35"/>
        <v>2928.0182921</v>
      </c>
      <c r="J195" s="199">
        <f t="shared" si="36"/>
        <v>4339.279318</v>
      </c>
      <c r="L195" s="9"/>
      <c r="N195" s="254"/>
    </row>
    <row r="196" spans="1:14" ht="25.5">
      <c r="A196" s="78" t="s">
        <v>378</v>
      </c>
      <c r="B196" s="151" t="s">
        <v>360</v>
      </c>
      <c r="C196" s="158" t="s">
        <v>81</v>
      </c>
      <c r="D196" s="201">
        <v>190</v>
      </c>
      <c r="E196" s="201">
        <f>10.26*K1</f>
        <v>10.748673539999999</v>
      </c>
      <c r="F196" s="201">
        <f>14.71*K1</f>
        <v>15.41062259</v>
      </c>
      <c r="G196" s="201">
        <f t="shared" si="37"/>
        <v>26.159296129999998</v>
      </c>
      <c r="H196" s="199">
        <f t="shared" si="34"/>
        <v>2042.2479725999997</v>
      </c>
      <c r="I196" s="199">
        <f t="shared" si="35"/>
        <v>2928.0182921</v>
      </c>
      <c r="J196" s="199">
        <f t="shared" si="36"/>
        <v>4970.2662647</v>
      </c>
      <c r="L196" s="9"/>
      <c r="N196" s="254"/>
    </row>
    <row r="197" spans="1:14" ht="25.5">
      <c r="A197" s="78" t="s">
        <v>379</v>
      </c>
      <c r="B197" s="151" t="s">
        <v>361</v>
      </c>
      <c r="C197" s="158" t="s">
        <v>81</v>
      </c>
      <c r="D197" s="201">
        <v>150</v>
      </c>
      <c r="E197" s="201">
        <f>11.61*K1</f>
        <v>12.162972689999998</v>
      </c>
      <c r="F197" s="201">
        <f>17.65*K1</f>
        <v>18.490651849999995</v>
      </c>
      <c r="G197" s="201">
        <f t="shared" si="37"/>
        <v>30.653624539999996</v>
      </c>
      <c r="H197" s="199">
        <f t="shared" si="34"/>
        <v>1824.4459034999998</v>
      </c>
      <c r="I197" s="199">
        <f t="shared" si="35"/>
        <v>2773.597777499999</v>
      </c>
      <c r="J197" s="199">
        <f t="shared" si="36"/>
        <v>4598.043680999999</v>
      </c>
      <c r="L197" s="9"/>
      <c r="N197" s="254"/>
    </row>
    <row r="198" spans="1:14" ht="25.5">
      <c r="A198" s="78" t="s">
        <v>380</v>
      </c>
      <c r="B198" s="151" t="s">
        <v>362</v>
      </c>
      <c r="C198" s="158" t="s">
        <v>81</v>
      </c>
      <c r="D198" s="201">
        <v>45</v>
      </c>
      <c r="E198" s="201">
        <f>17.56*K1</f>
        <v>18.396365239999998</v>
      </c>
      <c r="F198" s="201">
        <f>20.59*K1</f>
        <v>21.57068111</v>
      </c>
      <c r="G198" s="201">
        <f t="shared" si="37"/>
        <v>39.96704635</v>
      </c>
      <c r="H198" s="199">
        <f t="shared" si="34"/>
        <v>827.8364357999999</v>
      </c>
      <c r="I198" s="199">
        <f t="shared" si="35"/>
        <v>970.68064995</v>
      </c>
      <c r="J198" s="199">
        <f t="shared" si="36"/>
        <v>1798.5170857499998</v>
      </c>
      <c r="L198" s="9"/>
      <c r="N198" s="254"/>
    </row>
    <row r="199" spans="1:14" ht="25.5">
      <c r="A199" s="78" t="s">
        <v>381</v>
      </c>
      <c r="B199" s="151" t="s">
        <v>363</v>
      </c>
      <c r="C199" s="158" t="s">
        <v>81</v>
      </c>
      <c r="D199" s="201">
        <v>60</v>
      </c>
      <c r="E199" s="201">
        <f>27.59*K1</f>
        <v>28.90408411</v>
      </c>
      <c r="F199" s="201">
        <f>26.47*K1</f>
        <v>27.730739629999995</v>
      </c>
      <c r="G199" s="201">
        <f t="shared" si="37"/>
        <v>56.634823739999995</v>
      </c>
      <c r="H199" s="199">
        <f t="shared" si="34"/>
        <v>1734.2450466</v>
      </c>
      <c r="I199" s="199">
        <f t="shared" si="35"/>
        <v>1663.8443777999996</v>
      </c>
      <c r="J199" s="199">
        <f t="shared" si="36"/>
        <v>3398.0894243999996</v>
      </c>
      <c r="L199" s="9"/>
      <c r="N199" s="254"/>
    </row>
    <row r="200" spans="1:14" ht="12.75">
      <c r="A200" s="78" t="s">
        <v>382</v>
      </c>
      <c r="B200" s="151" t="s">
        <v>364</v>
      </c>
      <c r="C200" s="159" t="s">
        <v>49</v>
      </c>
      <c r="D200" s="201">
        <v>2</v>
      </c>
      <c r="E200" s="201">
        <f>2906.04*K1</f>
        <v>3044.4517791599997</v>
      </c>
      <c r="F200" s="201">
        <f>64.15*K1</f>
        <v>67.20540035</v>
      </c>
      <c r="G200" s="201">
        <f t="shared" si="37"/>
        <v>3111.65717951</v>
      </c>
      <c r="H200" s="199">
        <f t="shared" si="34"/>
        <v>6088.903558319999</v>
      </c>
      <c r="I200" s="199">
        <f t="shared" si="35"/>
        <v>134.4108007</v>
      </c>
      <c r="J200" s="199">
        <f t="shared" si="36"/>
        <v>6223.31435902</v>
      </c>
      <c r="L200" s="9"/>
      <c r="N200" s="254"/>
    </row>
    <row r="201" spans="1:14" ht="25.5">
      <c r="A201" s="78" t="s">
        <v>383</v>
      </c>
      <c r="B201" s="151" t="s">
        <v>365</v>
      </c>
      <c r="C201" s="159" t="s">
        <v>49</v>
      </c>
      <c r="D201" s="201">
        <v>1</v>
      </c>
      <c r="E201" s="201">
        <f>1642.83*K1</f>
        <v>1721.0763500699998</v>
      </c>
      <c r="F201" s="201">
        <f>161.18*K1</f>
        <v>168.85684222</v>
      </c>
      <c r="G201" s="201">
        <f t="shared" si="37"/>
        <v>1889.9331922899999</v>
      </c>
      <c r="H201" s="199">
        <f t="shared" si="34"/>
        <v>1721.0763500699998</v>
      </c>
      <c r="I201" s="199">
        <f t="shared" si="35"/>
        <v>168.85684222</v>
      </c>
      <c r="J201" s="199">
        <f t="shared" si="36"/>
        <v>1889.9331922899999</v>
      </c>
      <c r="L201" s="9"/>
      <c r="N201" s="254"/>
    </row>
    <row r="202" spans="1:14" ht="25.5">
      <c r="A202" s="78" t="s">
        <v>384</v>
      </c>
      <c r="B202" s="151" t="s">
        <v>366</v>
      </c>
      <c r="C202" s="159" t="s">
        <v>49</v>
      </c>
      <c r="D202" s="201">
        <v>130</v>
      </c>
      <c r="E202" s="201">
        <f>55.22*K1</f>
        <v>57.85007338</v>
      </c>
      <c r="F202" s="201">
        <f>13.23*K1</f>
        <v>13.86013167</v>
      </c>
      <c r="G202" s="201">
        <f t="shared" si="37"/>
        <v>71.71020505</v>
      </c>
      <c r="H202" s="199">
        <f t="shared" si="34"/>
        <v>7520.5095394</v>
      </c>
      <c r="I202" s="199">
        <f t="shared" si="35"/>
        <v>1801.8171171</v>
      </c>
      <c r="J202" s="199">
        <f t="shared" si="36"/>
        <v>9322.3266565</v>
      </c>
      <c r="L202" s="9"/>
      <c r="N202" s="254"/>
    </row>
    <row r="203" spans="1:14" ht="25.5">
      <c r="A203" s="78" t="s">
        <v>385</v>
      </c>
      <c r="B203" s="151" t="s">
        <v>367</v>
      </c>
      <c r="C203" s="159" t="s">
        <v>49</v>
      </c>
      <c r="D203" s="201">
        <v>1</v>
      </c>
      <c r="E203" s="201">
        <f>57.8*K1</f>
        <v>60.55295619999999</v>
      </c>
      <c r="F203" s="201">
        <f>13.23*K1</f>
        <v>13.86013167</v>
      </c>
      <c r="G203" s="201">
        <f t="shared" si="37"/>
        <v>74.41308786999998</v>
      </c>
      <c r="H203" s="199">
        <f t="shared" si="34"/>
        <v>60.55295619999999</v>
      </c>
      <c r="I203" s="199">
        <f t="shared" si="35"/>
        <v>13.86013167</v>
      </c>
      <c r="J203" s="199">
        <f t="shared" si="36"/>
        <v>74.41308786999998</v>
      </c>
      <c r="L203" s="9"/>
      <c r="N203" s="254"/>
    </row>
    <row r="204" spans="1:14" ht="25.5">
      <c r="A204" s="78" t="s">
        <v>386</v>
      </c>
      <c r="B204" s="151" t="s">
        <v>368</v>
      </c>
      <c r="C204" s="159" t="s">
        <v>49</v>
      </c>
      <c r="D204" s="201">
        <v>3</v>
      </c>
      <c r="E204" s="201">
        <f>44.69*K1</f>
        <v>46.81854000999999</v>
      </c>
      <c r="F204" s="201">
        <f>26.47*K1</f>
        <v>27.730739629999995</v>
      </c>
      <c r="G204" s="201">
        <f t="shared" si="37"/>
        <v>74.54927963999998</v>
      </c>
      <c r="H204" s="199">
        <f t="shared" si="34"/>
        <v>140.45562002999998</v>
      </c>
      <c r="I204" s="199">
        <f t="shared" si="35"/>
        <v>83.19221888999999</v>
      </c>
      <c r="J204" s="199">
        <f t="shared" si="36"/>
        <v>223.64783891999997</v>
      </c>
      <c r="L204" s="9"/>
      <c r="N204" s="254"/>
    </row>
    <row r="205" spans="1:14" ht="25.5">
      <c r="A205" s="78" t="s">
        <v>387</v>
      </c>
      <c r="B205" s="151" t="s">
        <v>369</v>
      </c>
      <c r="C205" s="159" t="s">
        <v>49</v>
      </c>
      <c r="D205" s="201">
        <v>3</v>
      </c>
      <c r="E205" s="201">
        <f>57.16*K1</f>
        <v>59.88247363999999</v>
      </c>
      <c r="F205" s="201">
        <f>29.41*K1</f>
        <v>30.81076889</v>
      </c>
      <c r="G205" s="201">
        <f t="shared" si="37"/>
        <v>90.69324252999999</v>
      </c>
      <c r="H205" s="199">
        <f t="shared" si="34"/>
        <v>179.64742091999997</v>
      </c>
      <c r="I205" s="199">
        <f t="shared" si="35"/>
        <v>92.43230667</v>
      </c>
      <c r="J205" s="199">
        <f t="shared" si="36"/>
        <v>272.07972758999995</v>
      </c>
      <c r="L205" s="9"/>
      <c r="N205" s="254"/>
    </row>
    <row r="206" spans="1:14" ht="25.5">
      <c r="A206" s="78" t="s">
        <v>388</v>
      </c>
      <c r="B206" s="151" t="s">
        <v>370</v>
      </c>
      <c r="C206" s="159" t="s">
        <v>49</v>
      </c>
      <c r="D206" s="201">
        <v>3</v>
      </c>
      <c r="E206" s="201">
        <f>195.21*K1</f>
        <v>204.50765708999998</v>
      </c>
      <c r="F206" s="201">
        <f>44.12*K1</f>
        <v>46.221391479999994</v>
      </c>
      <c r="G206" s="201">
        <f t="shared" si="37"/>
        <v>250.72904856999997</v>
      </c>
      <c r="H206" s="199">
        <f t="shared" si="34"/>
        <v>613.52297127</v>
      </c>
      <c r="I206" s="199">
        <f t="shared" si="35"/>
        <v>138.66417443999998</v>
      </c>
      <c r="J206" s="199">
        <f t="shared" si="36"/>
        <v>752.18714571</v>
      </c>
      <c r="L206" s="9"/>
      <c r="N206" s="254"/>
    </row>
    <row r="207" spans="1:14" ht="12.75">
      <c r="A207" s="78" t="s">
        <v>389</v>
      </c>
      <c r="B207" s="151" t="s">
        <v>371</v>
      </c>
      <c r="C207" s="159" t="s">
        <v>49</v>
      </c>
      <c r="D207" s="201">
        <v>1</v>
      </c>
      <c r="E207" s="201">
        <f>42.69*K1</f>
        <v>44.72328200999999</v>
      </c>
      <c r="F207" s="201">
        <f>8.82*K1</f>
        <v>9.24008778</v>
      </c>
      <c r="G207" s="201">
        <f t="shared" si="37"/>
        <v>53.96336978999999</v>
      </c>
      <c r="H207" s="199">
        <f t="shared" si="34"/>
        <v>44.72328200999999</v>
      </c>
      <c r="I207" s="199">
        <f t="shared" si="35"/>
        <v>9.24008778</v>
      </c>
      <c r="J207" s="199">
        <f t="shared" si="36"/>
        <v>53.96336978999999</v>
      </c>
      <c r="L207" s="9"/>
      <c r="N207" s="254"/>
    </row>
    <row r="208" spans="1:14" ht="12.75">
      <c r="A208" s="78" t="s">
        <v>390</v>
      </c>
      <c r="B208" s="151" t="s">
        <v>372</v>
      </c>
      <c r="C208" s="159" t="s">
        <v>49</v>
      </c>
      <c r="D208" s="218">
        <v>138</v>
      </c>
      <c r="E208" s="218">
        <f>3.78*K1</f>
        <v>3.9600376199999996</v>
      </c>
      <c r="F208" s="218">
        <f>3.55*K1</f>
        <v>3.7190829499999993</v>
      </c>
      <c r="G208" s="201">
        <f t="shared" si="37"/>
        <v>7.6791205699999985</v>
      </c>
      <c r="H208" s="199">
        <f t="shared" si="34"/>
        <v>546.48519156</v>
      </c>
      <c r="I208" s="199">
        <f t="shared" si="35"/>
        <v>513.2334470999999</v>
      </c>
      <c r="J208" s="199">
        <f t="shared" si="36"/>
        <v>1059.71863866</v>
      </c>
      <c r="L208" s="9"/>
      <c r="N208" s="254"/>
    </row>
    <row r="209" spans="1:14" ht="12.75">
      <c r="A209" s="78" t="s">
        <v>391</v>
      </c>
      <c r="B209" s="163" t="s">
        <v>373</v>
      </c>
      <c r="C209" s="181" t="s">
        <v>49</v>
      </c>
      <c r="D209" s="197">
        <v>1</v>
      </c>
      <c r="E209" s="255">
        <v>0</v>
      </c>
      <c r="F209" s="255">
        <f>62350*K1</f>
        <v>65319.66815</v>
      </c>
      <c r="G209" s="201">
        <f t="shared" si="37"/>
        <v>65319.66815</v>
      </c>
      <c r="H209" s="199">
        <f t="shared" si="34"/>
        <v>0</v>
      </c>
      <c r="I209" s="199">
        <f t="shared" si="35"/>
        <v>65319.66815</v>
      </c>
      <c r="J209" s="199">
        <f t="shared" si="36"/>
        <v>65319.66815</v>
      </c>
      <c r="L209" s="9"/>
      <c r="N209" s="254"/>
    </row>
    <row r="210" spans="1:14" ht="12.75">
      <c r="A210" s="155" t="s">
        <v>392</v>
      </c>
      <c r="B210" s="153" t="s">
        <v>393</v>
      </c>
      <c r="C210" s="80"/>
      <c r="D210" s="199"/>
      <c r="E210" s="199"/>
      <c r="F210" s="199"/>
      <c r="G210" s="199"/>
      <c r="H210" s="199"/>
      <c r="I210" s="199"/>
      <c r="J210" s="199"/>
      <c r="L210" s="9"/>
      <c r="N210" s="254"/>
    </row>
    <row r="211" spans="1:14" ht="12.75">
      <c r="A211" s="78" t="s">
        <v>407</v>
      </c>
      <c r="B211" s="175" t="s">
        <v>394</v>
      </c>
      <c r="C211" s="181" t="s">
        <v>49</v>
      </c>
      <c r="D211" s="197">
        <v>18</v>
      </c>
      <c r="E211" s="255">
        <f>24.78*K1</f>
        <v>25.96024662</v>
      </c>
      <c r="F211" s="255">
        <f>29.41*K1</f>
        <v>30.81076889</v>
      </c>
      <c r="G211" s="255">
        <f>E211+F211</f>
        <v>56.77101551</v>
      </c>
      <c r="H211" s="199">
        <f t="shared" si="34"/>
        <v>467.28443916</v>
      </c>
      <c r="I211" s="199">
        <f t="shared" si="35"/>
        <v>554.59384002</v>
      </c>
      <c r="J211" s="199">
        <f t="shared" si="36"/>
        <v>1021.8782791799999</v>
      </c>
      <c r="L211" s="9"/>
      <c r="N211" s="254"/>
    </row>
    <row r="212" spans="1:14" ht="12.75">
      <c r="A212" s="78" t="s">
        <v>408</v>
      </c>
      <c r="B212" s="175" t="s">
        <v>395</v>
      </c>
      <c r="C212" s="181" t="s">
        <v>49</v>
      </c>
      <c r="D212" s="197">
        <v>186</v>
      </c>
      <c r="E212" s="255">
        <f>44.89*K1</f>
        <v>47.028065809999994</v>
      </c>
      <c r="F212" s="255">
        <f>29.41*K1</f>
        <v>30.81076889</v>
      </c>
      <c r="G212" s="255">
        <f aca="true" t="shared" si="38" ref="G212:G234">E212+F212</f>
        <v>77.83883469999999</v>
      </c>
      <c r="H212" s="199">
        <f t="shared" si="34"/>
        <v>8747.220240659999</v>
      </c>
      <c r="I212" s="199">
        <f t="shared" si="35"/>
        <v>5730.8030135399995</v>
      </c>
      <c r="J212" s="199">
        <f t="shared" si="36"/>
        <v>14478.023254199998</v>
      </c>
      <c r="L212" s="9"/>
      <c r="N212" s="254"/>
    </row>
    <row r="213" spans="1:14" ht="12.75">
      <c r="A213" s="78" t="s">
        <v>409</v>
      </c>
      <c r="B213" s="151" t="s">
        <v>396</v>
      </c>
      <c r="C213" s="181" t="s">
        <v>49</v>
      </c>
      <c r="D213" s="201">
        <v>146</v>
      </c>
      <c r="E213" s="201">
        <f>6.88*K1</f>
        <v>7.2076875199999995</v>
      </c>
      <c r="F213" s="201">
        <f>11.76*K1</f>
        <v>12.32011704</v>
      </c>
      <c r="G213" s="255">
        <f t="shared" si="38"/>
        <v>19.52780456</v>
      </c>
      <c r="H213" s="199">
        <f t="shared" si="34"/>
        <v>1052.32237792</v>
      </c>
      <c r="I213" s="199">
        <f t="shared" si="35"/>
        <v>1798.73708784</v>
      </c>
      <c r="J213" s="199">
        <f t="shared" si="36"/>
        <v>2851.05946576</v>
      </c>
      <c r="L213" s="9"/>
      <c r="N213" s="254"/>
    </row>
    <row r="214" spans="1:14" ht="12.75">
      <c r="A214" s="78" t="s">
        <v>410</v>
      </c>
      <c r="B214" s="151" t="s">
        <v>397</v>
      </c>
      <c r="C214" s="181" t="s">
        <v>49</v>
      </c>
      <c r="D214" s="201">
        <v>121</v>
      </c>
      <c r="E214" s="201">
        <f>2.65*K1</f>
        <v>2.7762168499999995</v>
      </c>
      <c r="F214" s="201">
        <f>1.16*K1</f>
        <v>1.21524964</v>
      </c>
      <c r="G214" s="255">
        <f t="shared" si="38"/>
        <v>3.9914664899999996</v>
      </c>
      <c r="H214" s="199">
        <f t="shared" si="34"/>
        <v>335.9222388499999</v>
      </c>
      <c r="I214" s="199">
        <f t="shared" si="35"/>
        <v>147.04520644</v>
      </c>
      <c r="J214" s="199">
        <f t="shared" si="36"/>
        <v>482.9674452899999</v>
      </c>
      <c r="L214" s="9"/>
      <c r="N214" s="254"/>
    </row>
    <row r="215" spans="1:14" ht="12.75">
      <c r="A215" s="78" t="s">
        <v>411</v>
      </c>
      <c r="B215" s="151" t="s">
        <v>398</v>
      </c>
      <c r="C215" s="181" t="s">
        <v>49</v>
      </c>
      <c r="D215" s="201">
        <v>21</v>
      </c>
      <c r="E215" s="201">
        <f>28.27*K1</f>
        <v>29.61647183</v>
      </c>
      <c r="F215" s="201">
        <f>1.2*K1</f>
        <v>1.2571548</v>
      </c>
      <c r="G215" s="255">
        <f t="shared" si="38"/>
        <v>30.873626629999997</v>
      </c>
      <c r="H215" s="199">
        <f t="shared" si="34"/>
        <v>621.9459084299999</v>
      </c>
      <c r="I215" s="199">
        <f t="shared" si="35"/>
        <v>26.4002508</v>
      </c>
      <c r="J215" s="199">
        <f t="shared" si="36"/>
        <v>648.3461592299999</v>
      </c>
      <c r="L215" s="9"/>
      <c r="N215" s="254"/>
    </row>
    <row r="216" spans="1:14" ht="25.5">
      <c r="A216" s="78" t="s">
        <v>412</v>
      </c>
      <c r="B216" s="151" t="s">
        <v>399</v>
      </c>
      <c r="C216" s="158" t="s">
        <v>81</v>
      </c>
      <c r="D216" s="201">
        <v>540</v>
      </c>
      <c r="E216" s="201">
        <f>5.91*K1</f>
        <v>6.19148739</v>
      </c>
      <c r="F216" s="201">
        <f>14.71*K1</f>
        <v>15.41062259</v>
      </c>
      <c r="G216" s="255">
        <f t="shared" si="38"/>
        <v>21.602109979999998</v>
      </c>
      <c r="H216" s="199">
        <f t="shared" si="34"/>
        <v>3343.4031906</v>
      </c>
      <c r="I216" s="199">
        <f t="shared" si="35"/>
        <v>8321.7361986</v>
      </c>
      <c r="J216" s="199">
        <f t="shared" si="36"/>
        <v>11665.1393892</v>
      </c>
      <c r="L216" s="9"/>
      <c r="N216" s="254"/>
    </row>
    <row r="217" spans="1:14" ht="25.5">
      <c r="A217" s="78" t="s">
        <v>413</v>
      </c>
      <c r="B217" s="151" t="s">
        <v>400</v>
      </c>
      <c r="C217" s="158" t="s">
        <v>81</v>
      </c>
      <c r="D217" s="201">
        <v>1200</v>
      </c>
      <c r="E217" s="201">
        <f>8.68*K1</f>
        <v>9.093419719999998</v>
      </c>
      <c r="F217" s="201">
        <f>17.65*K1</f>
        <v>18.490651849999995</v>
      </c>
      <c r="G217" s="255">
        <f t="shared" si="38"/>
        <v>27.584071569999992</v>
      </c>
      <c r="H217" s="199">
        <f t="shared" si="34"/>
        <v>10912.103663999998</v>
      </c>
      <c r="I217" s="199">
        <f t="shared" si="35"/>
        <v>22188.782219999994</v>
      </c>
      <c r="J217" s="199">
        <f t="shared" si="36"/>
        <v>33100.88588399999</v>
      </c>
      <c r="L217" s="9"/>
      <c r="N217" s="254"/>
    </row>
    <row r="218" spans="1:14" ht="25.5">
      <c r="A218" s="78" t="s">
        <v>414</v>
      </c>
      <c r="B218" s="151" t="s">
        <v>401</v>
      </c>
      <c r="C218" s="158" t="s">
        <v>81</v>
      </c>
      <c r="D218" s="201">
        <v>75</v>
      </c>
      <c r="E218" s="201">
        <f>13.81*K1</f>
        <v>14.46775649</v>
      </c>
      <c r="F218" s="201">
        <f>26.47*K1</f>
        <v>27.730739629999995</v>
      </c>
      <c r="G218" s="255">
        <f t="shared" si="38"/>
        <v>42.198496119999994</v>
      </c>
      <c r="H218" s="199">
        <f t="shared" si="34"/>
        <v>1085.08173675</v>
      </c>
      <c r="I218" s="199">
        <f t="shared" si="35"/>
        <v>2079.8054722499996</v>
      </c>
      <c r="J218" s="199">
        <f t="shared" si="36"/>
        <v>3164.8872089999995</v>
      </c>
      <c r="L218" s="9"/>
      <c r="N218" s="254"/>
    </row>
    <row r="219" spans="1:14" ht="25.5">
      <c r="A219" s="78" t="s">
        <v>415</v>
      </c>
      <c r="B219" s="151" t="s">
        <v>402</v>
      </c>
      <c r="C219" s="158" t="s">
        <v>81</v>
      </c>
      <c r="D219" s="201">
        <v>360</v>
      </c>
      <c r="E219" s="201">
        <f>13.2*K1</f>
        <v>13.828702799999999</v>
      </c>
      <c r="F219" s="201">
        <f>32.35*K1</f>
        <v>33.89079815</v>
      </c>
      <c r="G219" s="255">
        <f t="shared" si="38"/>
        <v>47.71950095</v>
      </c>
      <c r="H219" s="199">
        <f t="shared" si="34"/>
        <v>4978.333008</v>
      </c>
      <c r="I219" s="199">
        <f t="shared" si="35"/>
        <v>12200.687334</v>
      </c>
      <c r="J219" s="199">
        <f t="shared" si="36"/>
        <v>17179.020342</v>
      </c>
      <c r="L219" s="9"/>
      <c r="N219" s="254"/>
    </row>
    <row r="220" spans="1:14" ht="25.5">
      <c r="A220" s="78" t="s">
        <v>416</v>
      </c>
      <c r="B220" s="180" t="s">
        <v>403</v>
      </c>
      <c r="C220" s="182" t="s">
        <v>81</v>
      </c>
      <c r="D220" s="218">
        <v>22</v>
      </c>
      <c r="E220" s="218">
        <f>45.7*K1</f>
        <v>47.8766453</v>
      </c>
      <c r="F220" s="218">
        <f>32.35*K1</f>
        <v>33.89079815</v>
      </c>
      <c r="G220" s="255">
        <f t="shared" si="38"/>
        <v>81.76744345</v>
      </c>
      <c r="H220" s="199">
        <f t="shared" si="34"/>
        <v>1053.2861966</v>
      </c>
      <c r="I220" s="199">
        <f t="shared" si="35"/>
        <v>745.5975593000001</v>
      </c>
      <c r="J220" s="199">
        <f t="shared" si="36"/>
        <v>1798.8837559</v>
      </c>
      <c r="L220" s="9"/>
      <c r="N220" s="254"/>
    </row>
    <row r="221" spans="1:14" ht="12.75">
      <c r="A221" s="78" t="s">
        <v>417</v>
      </c>
      <c r="B221" s="175" t="s">
        <v>404</v>
      </c>
      <c r="C221" s="165" t="s">
        <v>50</v>
      </c>
      <c r="D221" s="197">
        <v>112</v>
      </c>
      <c r="E221" s="255">
        <v>0</v>
      </c>
      <c r="F221" s="255">
        <f>187.36*K1</f>
        <v>196.28376944</v>
      </c>
      <c r="G221" s="255">
        <f t="shared" si="38"/>
        <v>196.28376944</v>
      </c>
      <c r="H221" s="199">
        <f t="shared" si="34"/>
        <v>0</v>
      </c>
      <c r="I221" s="199">
        <f t="shared" si="35"/>
        <v>21983.782177279998</v>
      </c>
      <c r="J221" s="199">
        <f t="shared" si="36"/>
        <v>21983.782177279998</v>
      </c>
      <c r="L221" s="9"/>
      <c r="N221" s="254"/>
    </row>
    <row r="222" spans="1:14" ht="12.75">
      <c r="A222" s="78" t="s">
        <v>418</v>
      </c>
      <c r="B222" s="162" t="s">
        <v>406</v>
      </c>
      <c r="C222" s="159" t="s">
        <v>50</v>
      </c>
      <c r="D222" s="200">
        <v>10.5</v>
      </c>
      <c r="E222" s="200">
        <f>34.75*K1</f>
        <v>36.40510775</v>
      </c>
      <c r="F222" s="200">
        <f>68.36*K1</f>
        <v>71.61591843999999</v>
      </c>
      <c r="G222" s="255">
        <f t="shared" si="38"/>
        <v>108.02102618999999</v>
      </c>
      <c r="H222" s="199">
        <f t="shared" si="34"/>
        <v>382.253631375</v>
      </c>
      <c r="I222" s="199">
        <f t="shared" si="35"/>
        <v>751.9671436199999</v>
      </c>
      <c r="J222" s="199">
        <f t="shared" si="36"/>
        <v>1134.2207749949998</v>
      </c>
      <c r="L222" s="9"/>
      <c r="N222" s="254"/>
    </row>
    <row r="223" spans="1:14" ht="12.75">
      <c r="A223" s="155" t="s">
        <v>419</v>
      </c>
      <c r="B223" s="153" t="s">
        <v>420</v>
      </c>
      <c r="C223" s="80"/>
      <c r="D223" s="199"/>
      <c r="E223" s="199"/>
      <c r="F223" s="199"/>
      <c r="G223" s="255"/>
      <c r="H223" s="199"/>
      <c r="I223" s="199"/>
      <c r="J223" s="199"/>
      <c r="L223" s="9"/>
      <c r="N223" s="254"/>
    </row>
    <row r="224" spans="1:14" ht="12.75">
      <c r="A224" s="78" t="s">
        <v>421</v>
      </c>
      <c r="B224" s="151" t="s">
        <v>422</v>
      </c>
      <c r="C224" s="181" t="s">
        <v>49</v>
      </c>
      <c r="D224" s="201">
        <v>2</v>
      </c>
      <c r="E224" s="201">
        <f>5.53*K1</f>
        <v>5.79338837</v>
      </c>
      <c r="F224" s="201">
        <f>1.76*K1</f>
        <v>1.8438270399999999</v>
      </c>
      <c r="G224" s="255">
        <f t="shared" si="38"/>
        <v>7.63721541</v>
      </c>
      <c r="H224" s="199">
        <f t="shared" si="34"/>
        <v>11.58677674</v>
      </c>
      <c r="I224" s="199">
        <f t="shared" si="35"/>
        <v>3.6876540799999997</v>
      </c>
      <c r="J224" s="199">
        <f t="shared" si="36"/>
        <v>15.27443082</v>
      </c>
      <c r="L224" s="9"/>
      <c r="N224" s="254"/>
    </row>
    <row r="225" spans="1:14" ht="12.75">
      <c r="A225" s="78" t="s">
        <v>430</v>
      </c>
      <c r="B225" s="151" t="s">
        <v>423</v>
      </c>
      <c r="C225" s="181" t="s">
        <v>49</v>
      </c>
      <c r="D225" s="201">
        <v>34</v>
      </c>
      <c r="E225" s="201">
        <f>12.91*K1</f>
        <v>13.52489039</v>
      </c>
      <c r="F225" s="201">
        <f>1.76*K1</f>
        <v>1.8438270399999999</v>
      </c>
      <c r="G225" s="255">
        <f t="shared" si="38"/>
        <v>15.36871743</v>
      </c>
      <c r="H225" s="199">
        <f t="shared" si="34"/>
        <v>459.84627326</v>
      </c>
      <c r="I225" s="199">
        <f t="shared" si="35"/>
        <v>62.69011936</v>
      </c>
      <c r="J225" s="199">
        <f t="shared" si="36"/>
        <v>522.53639262</v>
      </c>
      <c r="L225" s="9"/>
      <c r="N225" s="254"/>
    </row>
    <row r="226" spans="1:14" ht="25.5">
      <c r="A226" s="78" t="s">
        <v>431</v>
      </c>
      <c r="B226" s="151" t="s">
        <v>402</v>
      </c>
      <c r="C226" s="158" t="s">
        <v>81</v>
      </c>
      <c r="D226" s="201">
        <v>25</v>
      </c>
      <c r="E226" s="201">
        <f>13.2*K1</f>
        <v>13.828702799999999</v>
      </c>
      <c r="F226" s="201">
        <f>32.35*K1</f>
        <v>33.89079815</v>
      </c>
      <c r="G226" s="255">
        <f t="shared" si="38"/>
        <v>47.71950095</v>
      </c>
      <c r="H226" s="199">
        <f t="shared" si="34"/>
        <v>345.71756999999997</v>
      </c>
      <c r="I226" s="199">
        <f t="shared" si="35"/>
        <v>847.26995375</v>
      </c>
      <c r="J226" s="199">
        <f t="shared" si="36"/>
        <v>1192.98752375</v>
      </c>
      <c r="L226" s="9"/>
      <c r="N226" s="254"/>
    </row>
    <row r="227" spans="1:14" ht="25.5">
      <c r="A227" s="78" t="s">
        <v>432</v>
      </c>
      <c r="B227" s="180" t="s">
        <v>403</v>
      </c>
      <c r="C227" s="182" t="s">
        <v>81</v>
      </c>
      <c r="D227" s="218">
        <v>360</v>
      </c>
      <c r="E227" s="218">
        <f>45.7*K1</f>
        <v>47.8766453</v>
      </c>
      <c r="F227" s="218">
        <f>32.35*K1</f>
        <v>33.89079815</v>
      </c>
      <c r="G227" s="255">
        <f t="shared" si="38"/>
        <v>81.76744345</v>
      </c>
      <c r="H227" s="199">
        <f t="shared" si="34"/>
        <v>17235.592308</v>
      </c>
      <c r="I227" s="199">
        <f t="shared" si="35"/>
        <v>12200.687334</v>
      </c>
      <c r="J227" s="199">
        <f t="shared" si="36"/>
        <v>29436.279642</v>
      </c>
      <c r="L227" s="9"/>
      <c r="N227" s="254"/>
    </row>
    <row r="228" spans="1:14" ht="25.5">
      <c r="A228" s="78" t="s">
        <v>433</v>
      </c>
      <c r="B228" s="151" t="s">
        <v>424</v>
      </c>
      <c r="C228" s="158" t="s">
        <v>81</v>
      </c>
      <c r="D228" s="201">
        <v>50</v>
      </c>
      <c r="E228" s="201">
        <f>41.13*K1</f>
        <v>43.08898077</v>
      </c>
      <c r="F228" s="201">
        <f>20.5*K1</f>
        <v>21.476394499999998</v>
      </c>
      <c r="G228" s="255">
        <f t="shared" si="38"/>
        <v>64.56537527</v>
      </c>
      <c r="H228" s="199">
        <f aca="true" t="shared" si="39" ref="H228:H254">D228*E228</f>
        <v>2154.4490385</v>
      </c>
      <c r="I228" s="199">
        <f aca="true" t="shared" si="40" ref="I228:I254">D228*F228</f>
        <v>1073.8197249999998</v>
      </c>
      <c r="J228" s="199">
        <f aca="true" t="shared" si="41" ref="J228:J254">I228+H228</f>
        <v>3228.2687634999997</v>
      </c>
      <c r="L228" s="9"/>
      <c r="N228" s="254"/>
    </row>
    <row r="229" spans="1:14" ht="25.5">
      <c r="A229" s="78" t="s">
        <v>434</v>
      </c>
      <c r="B229" s="151" t="s">
        <v>425</v>
      </c>
      <c r="C229" s="158" t="s">
        <v>81</v>
      </c>
      <c r="D229" s="201">
        <v>95</v>
      </c>
      <c r="E229" s="201">
        <f>67.87*K1</f>
        <v>71.10258023</v>
      </c>
      <c r="F229" s="201">
        <f>20.5*K1</f>
        <v>21.476394499999998</v>
      </c>
      <c r="G229" s="255">
        <f t="shared" si="38"/>
        <v>92.57897473</v>
      </c>
      <c r="H229" s="199">
        <f t="shared" si="39"/>
        <v>6754.74512185</v>
      </c>
      <c r="I229" s="199">
        <f t="shared" si="40"/>
        <v>2040.2574774999998</v>
      </c>
      <c r="J229" s="199">
        <f t="shared" si="41"/>
        <v>8795.00259935</v>
      </c>
      <c r="K229" s="1"/>
      <c r="L229" s="9"/>
      <c r="N229" s="254"/>
    </row>
    <row r="230" spans="1:14" ht="25.5">
      <c r="A230" s="78" t="s">
        <v>435</v>
      </c>
      <c r="B230" s="151" t="s">
        <v>426</v>
      </c>
      <c r="C230" s="158" t="s">
        <v>81</v>
      </c>
      <c r="D230" s="201">
        <v>105</v>
      </c>
      <c r="E230" s="201">
        <f>109.43*K1</f>
        <v>114.64204147</v>
      </c>
      <c r="F230" s="201">
        <f>20.5*K1</f>
        <v>21.476394499999998</v>
      </c>
      <c r="G230" s="255">
        <f t="shared" si="38"/>
        <v>136.11843597</v>
      </c>
      <c r="H230" s="199">
        <f t="shared" si="39"/>
        <v>12037.41435435</v>
      </c>
      <c r="I230" s="199">
        <f t="shared" si="40"/>
        <v>2255.0214225</v>
      </c>
      <c r="J230" s="199">
        <f t="shared" si="41"/>
        <v>14292.43577685</v>
      </c>
      <c r="K230" s="169"/>
      <c r="L230" s="9"/>
      <c r="N230" s="254"/>
    </row>
    <row r="231" spans="1:14" ht="25.5">
      <c r="A231" s="78" t="s">
        <v>436</v>
      </c>
      <c r="B231" s="180" t="s">
        <v>427</v>
      </c>
      <c r="C231" s="182" t="s">
        <v>81</v>
      </c>
      <c r="D231" s="218">
        <v>37</v>
      </c>
      <c r="E231" s="218">
        <f>177.83*K1</f>
        <v>186.29986507</v>
      </c>
      <c r="F231" s="218">
        <f>20.5*K1</f>
        <v>21.476394499999998</v>
      </c>
      <c r="G231" s="255">
        <f t="shared" si="38"/>
        <v>207.77625957</v>
      </c>
      <c r="H231" s="199">
        <f t="shared" si="39"/>
        <v>6893.09500759</v>
      </c>
      <c r="I231" s="199">
        <f t="shared" si="40"/>
        <v>794.6265964999999</v>
      </c>
      <c r="J231" s="199">
        <f t="shared" si="41"/>
        <v>7687.72160409</v>
      </c>
      <c r="L231" s="9"/>
      <c r="N231" s="254"/>
    </row>
    <row r="232" spans="1:14" ht="12.75">
      <c r="A232" s="78" t="s">
        <v>437</v>
      </c>
      <c r="B232" s="175" t="s">
        <v>428</v>
      </c>
      <c r="C232" s="165" t="s">
        <v>50</v>
      </c>
      <c r="D232" s="197">
        <v>36</v>
      </c>
      <c r="E232" s="255">
        <v>0</v>
      </c>
      <c r="F232" s="255">
        <f>187.36*K1</f>
        <v>196.28376944</v>
      </c>
      <c r="G232" s="255">
        <f t="shared" si="38"/>
        <v>196.28376944</v>
      </c>
      <c r="H232" s="199">
        <f t="shared" si="39"/>
        <v>0</v>
      </c>
      <c r="I232" s="199">
        <f t="shared" si="40"/>
        <v>7066.21569984</v>
      </c>
      <c r="J232" s="199">
        <f t="shared" si="41"/>
        <v>7066.21569984</v>
      </c>
      <c r="L232" s="9"/>
      <c r="N232" s="254"/>
    </row>
    <row r="233" spans="1:14" ht="12.75">
      <c r="A233" s="78" t="s">
        <v>438</v>
      </c>
      <c r="B233" s="175" t="s">
        <v>429</v>
      </c>
      <c r="C233" s="159" t="s">
        <v>50</v>
      </c>
      <c r="D233" s="197">
        <v>84</v>
      </c>
      <c r="E233" s="255">
        <v>0</v>
      </c>
      <c r="F233" s="255">
        <f>187.36*K1</f>
        <v>196.28376944</v>
      </c>
      <c r="G233" s="255">
        <f t="shared" si="38"/>
        <v>196.28376944</v>
      </c>
      <c r="H233" s="199">
        <f t="shared" si="39"/>
        <v>0</v>
      </c>
      <c r="I233" s="199">
        <f t="shared" si="40"/>
        <v>16487.83663296</v>
      </c>
      <c r="J233" s="199">
        <f t="shared" si="41"/>
        <v>16487.83663296</v>
      </c>
      <c r="L233" s="9"/>
      <c r="N233" s="254"/>
    </row>
    <row r="234" spans="1:14" ht="12.75">
      <c r="A234" s="78" t="s">
        <v>439</v>
      </c>
      <c r="B234" s="162" t="s">
        <v>406</v>
      </c>
      <c r="C234" s="159" t="s">
        <v>50</v>
      </c>
      <c r="D234" s="200">
        <v>10.8</v>
      </c>
      <c r="E234" s="200">
        <f>34.75*K1</f>
        <v>36.40510775</v>
      </c>
      <c r="F234" s="200">
        <f>68.36*K1</f>
        <v>71.61591843999999</v>
      </c>
      <c r="G234" s="255">
        <f t="shared" si="38"/>
        <v>108.02102618999999</v>
      </c>
      <c r="H234" s="199">
        <f t="shared" si="39"/>
        <v>393.17516370000004</v>
      </c>
      <c r="I234" s="199">
        <f t="shared" si="40"/>
        <v>773.451919152</v>
      </c>
      <c r="J234" s="199">
        <f t="shared" si="41"/>
        <v>1166.627082852</v>
      </c>
      <c r="L234" s="9"/>
      <c r="N234" s="254"/>
    </row>
    <row r="235" spans="1:14" ht="12.75">
      <c r="A235" s="155" t="s">
        <v>441</v>
      </c>
      <c r="B235" s="153" t="s">
        <v>440</v>
      </c>
      <c r="C235" s="80"/>
      <c r="D235" s="199"/>
      <c r="E235" s="199"/>
      <c r="F235" s="199"/>
      <c r="G235" s="199"/>
      <c r="H235" s="199"/>
      <c r="I235" s="199"/>
      <c r="J235" s="199"/>
      <c r="L235" s="9"/>
      <c r="N235" s="254"/>
    </row>
    <row r="236" spans="1:14" ht="25.5">
      <c r="A236" s="78" t="s">
        <v>452</v>
      </c>
      <c r="B236" s="151" t="s">
        <v>442</v>
      </c>
      <c r="C236" s="181" t="s">
        <v>49</v>
      </c>
      <c r="D236" s="200">
        <v>10</v>
      </c>
      <c r="E236" s="201">
        <f>1325.34*K1</f>
        <v>1388.4646188599997</v>
      </c>
      <c r="F236" s="201">
        <f>152.94*K1</f>
        <v>160.22437925999998</v>
      </c>
      <c r="G236" s="201">
        <f>E236+F236</f>
        <v>1548.6889981199997</v>
      </c>
      <c r="H236" s="199">
        <f t="shared" si="39"/>
        <v>13884.646188599998</v>
      </c>
      <c r="I236" s="199">
        <f t="shared" si="40"/>
        <v>1602.2437925999998</v>
      </c>
      <c r="J236" s="199">
        <f t="shared" si="41"/>
        <v>15486.889981199998</v>
      </c>
      <c r="L236" s="9"/>
      <c r="N236" s="254"/>
    </row>
    <row r="237" spans="1:14" ht="12.75">
      <c r="A237" s="78" t="s">
        <v>453</v>
      </c>
      <c r="B237" s="162" t="s">
        <v>443</v>
      </c>
      <c r="C237" s="181" t="s">
        <v>49</v>
      </c>
      <c r="D237" s="200">
        <v>19</v>
      </c>
      <c r="E237" s="200">
        <f>77.2*K1</f>
        <v>80.8769588</v>
      </c>
      <c r="F237" s="200">
        <f>11.71*K1</f>
        <v>12.26773559</v>
      </c>
      <c r="G237" s="201">
        <f aca="true" t="shared" si="42" ref="G237:G246">E237+F237</f>
        <v>93.14469439</v>
      </c>
      <c r="H237" s="199">
        <f t="shared" si="39"/>
        <v>1536.6622172</v>
      </c>
      <c r="I237" s="199">
        <f t="shared" si="40"/>
        <v>233.08697621</v>
      </c>
      <c r="J237" s="199">
        <f t="shared" si="41"/>
        <v>1769.7491934099999</v>
      </c>
      <c r="L237" s="9"/>
      <c r="N237" s="254"/>
    </row>
    <row r="238" spans="1:14" ht="25.5">
      <c r="A238" s="78" t="s">
        <v>454</v>
      </c>
      <c r="B238" s="151" t="s">
        <v>368</v>
      </c>
      <c r="C238" s="181" t="s">
        <v>49</v>
      </c>
      <c r="D238" s="200">
        <v>1</v>
      </c>
      <c r="E238" s="201">
        <f>44.69*K1</f>
        <v>46.81854000999999</v>
      </c>
      <c r="F238" s="201">
        <f>26.47*K1</f>
        <v>27.730739629999995</v>
      </c>
      <c r="G238" s="201">
        <f t="shared" si="42"/>
        <v>74.54927963999998</v>
      </c>
      <c r="H238" s="199">
        <f t="shared" si="39"/>
        <v>46.81854000999999</v>
      </c>
      <c r="I238" s="199">
        <f t="shared" si="40"/>
        <v>27.730739629999995</v>
      </c>
      <c r="J238" s="199">
        <f t="shared" si="41"/>
        <v>74.54927963999998</v>
      </c>
      <c r="L238" s="9"/>
      <c r="N238" s="254"/>
    </row>
    <row r="239" spans="1:14" ht="12.75">
      <c r="A239" s="78" t="s">
        <v>455</v>
      </c>
      <c r="B239" s="151" t="s">
        <v>444</v>
      </c>
      <c r="C239" s="181" t="s">
        <v>49</v>
      </c>
      <c r="D239" s="200">
        <v>1</v>
      </c>
      <c r="E239" s="201">
        <f>34.04*K1</f>
        <v>35.66129116</v>
      </c>
      <c r="F239" s="201">
        <f>22.06*K1</f>
        <v>23.110695739999997</v>
      </c>
      <c r="G239" s="201">
        <f t="shared" si="42"/>
        <v>58.771986899999995</v>
      </c>
      <c r="H239" s="199">
        <f t="shared" si="39"/>
        <v>35.66129116</v>
      </c>
      <c r="I239" s="199">
        <f t="shared" si="40"/>
        <v>23.110695739999997</v>
      </c>
      <c r="J239" s="199">
        <f t="shared" si="41"/>
        <v>58.771986899999995</v>
      </c>
      <c r="L239" s="9"/>
      <c r="N239" s="254"/>
    </row>
    <row r="240" spans="1:14" ht="12.75">
      <c r="A240" s="78" t="s">
        <v>456</v>
      </c>
      <c r="B240" s="151" t="s">
        <v>445</v>
      </c>
      <c r="C240" s="181" t="s">
        <v>49</v>
      </c>
      <c r="D240" s="200">
        <v>2</v>
      </c>
      <c r="E240" s="201">
        <f>307.87*K1</f>
        <v>322.53354022999997</v>
      </c>
      <c r="F240" s="201">
        <f>58.82*K1</f>
        <v>61.62153778</v>
      </c>
      <c r="G240" s="201">
        <f t="shared" si="42"/>
        <v>384.15507800999995</v>
      </c>
      <c r="H240" s="199">
        <f t="shared" si="39"/>
        <v>645.0670804599999</v>
      </c>
      <c r="I240" s="199">
        <f t="shared" si="40"/>
        <v>123.24307556</v>
      </c>
      <c r="J240" s="199">
        <f t="shared" si="41"/>
        <v>768.3101560199999</v>
      </c>
      <c r="L240" s="9"/>
      <c r="N240" s="254"/>
    </row>
    <row r="241" spans="1:14" ht="12.75">
      <c r="A241" s="78" t="s">
        <v>457</v>
      </c>
      <c r="B241" s="151" t="s">
        <v>446</v>
      </c>
      <c r="C241" s="181" t="s">
        <v>49</v>
      </c>
      <c r="D241" s="200">
        <v>2</v>
      </c>
      <c r="E241" s="201">
        <f>57.84*K1</f>
        <v>60.594861359999996</v>
      </c>
      <c r="F241" s="201">
        <f>13.23*K1</f>
        <v>13.86013167</v>
      </c>
      <c r="G241" s="201">
        <f t="shared" si="42"/>
        <v>74.45499303</v>
      </c>
      <c r="H241" s="199">
        <f t="shared" si="39"/>
        <v>121.18972271999999</v>
      </c>
      <c r="I241" s="199">
        <f t="shared" si="40"/>
        <v>27.72026334</v>
      </c>
      <c r="J241" s="199">
        <f t="shared" si="41"/>
        <v>148.90998606</v>
      </c>
      <c r="L241" s="9"/>
      <c r="N241" s="254"/>
    </row>
    <row r="242" spans="1:14" ht="12.75">
      <c r="A242" s="78" t="s">
        <v>458</v>
      </c>
      <c r="B242" s="151" t="s">
        <v>447</v>
      </c>
      <c r="C242" s="181" t="s">
        <v>49</v>
      </c>
      <c r="D242" s="200">
        <v>2</v>
      </c>
      <c r="E242" s="201">
        <f>261.2*K1</f>
        <v>273.64069479999995</v>
      </c>
      <c r="F242" s="201">
        <f>13.23*K1</f>
        <v>13.86013167</v>
      </c>
      <c r="G242" s="201">
        <f t="shared" si="42"/>
        <v>287.50082646999994</v>
      </c>
      <c r="H242" s="199">
        <f t="shared" si="39"/>
        <v>547.2813895999999</v>
      </c>
      <c r="I242" s="199">
        <f t="shared" si="40"/>
        <v>27.72026334</v>
      </c>
      <c r="J242" s="199">
        <f t="shared" si="41"/>
        <v>575.0016529399999</v>
      </c>
      <c r="L242" s="9"/>
      <c r="N242" s="254"/>
    </row>
    <row r="243" spans="1:14" ht="12.75">
      <c r="A243" s="78" t="s">
        <v>459</v>
      </c>
      <c r="B243" s="180" t="s">
        <v>448</v>
      </c>
      <c r="C243" s="182" t="s">
        <v>81</v>
      </c>
      <c r="D243" s="209">
        <v>2</v>
      </c>
      <c r="E243" s="218">
        <f>24.74*K1</f>
        <v>25.918341459999997</v>
      </c>
      <c r="F243" s="218">
        <f>38.23*K1</f>
        <v>40.050856669999995</v>
      </c>
      <c r="G243" s="201">
        <f t="shared" si="42"/>
        <v>65.96919813</v>
      </c>
      <c r="H243" s="199">
        <f t="shared" si="39"/>
        <v>51.836682919999994</v>
      </c>
      <c r="I243" s="199">
        <f t="shared" si="40"/>
        <v>80.10171333999999</v>
      </c>
      <c r="J243" s="199">
        <f t="shared" si="41"/>
        <v>131.93839626</v>
      </c>
      <c r="L243" s="9"/>
      <c r="N243" s="254"/>
    </row>
    <row r="244" spans="1:14" ht="12.75">
      <c r="A244" s="78" t="s">
        <v>460</v>
      </c>
      <c r="B244" s="151" t="s">
        <v>449</v>
      </c>
      <c r="C244" s="158" t="s">
        <v>81</v>
      </c>
      <c r="D244" s="197">
        <v>2</v>
      </c>
      <c r="E244" s="201">
        <f>31.83*K1</f>
        <v>33.346031069999995</v>
      </c>
      <c r="F244" s="201">
        <f>41.17*K1</f>
        <v>43.13088593</v>
      </c>
      <c r="G244" s="201">
        <f t="shared" si="42"/>
        <v>76.47691699999999</v>
      </c>
      <c r="H244" s="199">
        <f t="shared" si="39"/>
        <v>66.69206213999999</v>
      </c>
      <c r="I244" s="199">
        <f t="shared" si="40"/>
        <v>86.26177186</v>
      </c>
      <c r="J244" s="199">
        <f t="shared" si="41"/>
        <v>152.95383399999997</v>
      </c>
      <c r="L244" s="9"/>
      <c r="N244" s="254"/>
    </row>
    <row r="245" spans="1:14" ht="12.75">
      <c r="A245" s="78" t="s">
        <v>461</v>
      </c>
      <c r="B245" s="151" t="s">
        <v>450</v>
      </c>
      <c r="C245" s="158" t="s">
        <v>81</v>
      </c>
      <c r="D245" s="197">
        <v>250</v>
      </c>
      <c r="E245" s="201">
        <f>61.45*K1</f>
        <v>64.37680205</v>
      </c>
      <c r="F245" s="201">
        <f>58.82*K1</f>
        <v>61.62153778</v>
      </c>
      <c r="G245" s="201">
        <f t="shared" si="42"/>
        <v>125.99833982999999</v>
      </c>
      <c r="H245" s="199">
        <f t="shared" si="39"/>
        <v>16094.2005125</v>
      </c>
      <c r="I245" s="199">
        <f t="shared" si="40"/>
        <v>15405.384445</v>
      </c>
      <c r="J245" s="199">
        <f t="shared" si="41"/>
        <v>31499.5849575</v>
      </c>
      <c r="L245" s="9"/>
      <c r="N245" s="254"/>
    </row>
    <row r="246" spans="1:14" ht="12.75">
      <c r="A246" s="78" t="s">
        <v>462</v>
      </c>
      <c r="B246" s="151" t="s">
        <v>451</v>
      </c>
      <c r="C246" s="158" t="s">
        <v>81</v>
      </c>
      <c r="D246" s="209">
        <v>20</v>
      </c>
      <c r="E246" s="201">
        <f>72.38*K1</f>
        <v>75.82738701999999</v>
      </c>
      <c r="F246" s="201">
        <f>66.18*K1</f>
        <v>69.33208722</v>
      </c>
      <c r="G246" s="201">
        <f t="shared" si="42"/>
        <v>145.15947424</v>
      </c>
      <c r="H246" s="199">
        <f t="shared" si="39"/>
        <v>1516.5477403999998</v>
      </c>
      <c r="I246" s="199">
        <f t="shared" si="40"/>
        <v>1386.6417444</v>
      </c>
      <c r="J246" s="199">
        <f t="shared" si="41"/>
        <v>2903.1894848</v>
      </c>
      <c r="K246" s="225"/>
      <c r="L246" s="9"/>
      <c r="N246" s="254"/>
    </row>
    <row r="247" spans="1:14" ht="12.75">
      <c r="A247" s="155" t="s">
        <v>463</v>
      </c>
      <c r="B247" s="153" t="s">
        <v>464</v>
      </c>
      <c r="C247" s="80"/>
      <c r="D247" s="199"/>
      <c r="E247" s="199"/>
      <c r="F247" s="199"/>
      <c r="G247" s="199"/>
      <c r="H247" s="199"/>
      <c r="I247" s="199"/>
      <c r="J247" s="199"/>
      <c r="L247" s="9"/>
      <c r="N247" s="254"/>
    </row>
    <row r="248" spans="1:14" ht="25.5">
      <c r="A248" s="78" t="s">
        <v>465</v>
      </c>
      <c r="B248" s="151" t="s">
        <v>358</v>
      </c>
      <c r="C248" s="172" t="s">
        <v>81</v>
      </c>
      <c r="D248" s="197">
        <v>87</v>
      </c>
      <c r="E248" s="214">
        <f>3.53*K1</f>
        <v>3.6981303699999994</v>
      </c>
      <c r="F248" s="201">
        <f>14.71*K1</f>
        <v>15.41062259</v>
      </c>
      <c r="G248" s="219">
        <f>F248+E248</f>
        <v>19.108752959999997</v>
      </c>
      <c r="H248" s="199">
        <f t="shared" si="39"/>
        <v>321.73734218999994</v>
      </c>
      <c r="I248" s="199">
        <f t="shared" si="40"/>
        <v>1340.72416533</v>
      </c>
      <c r="J248" s="199">
        <f t="shared" si="41"/>
        <v>1662.46150752</v>
      </c>
      <c r="L248" s="9"/>
      <c r="N248" s="254"/>
    </row>
    <row r="249" spans="1:14" ht="25.5">
      <c r="A249" s="78" t="s">
        <v>466</v>
      </c>
      <c r="B249" s="151" t="s">
        <v>359</v>
      </c>
      <c r="C249" s="172" t="s">
        <v>81</v>
      </c>
      <c r="D249" s="197">
        <v>100</v>
      </c>
      <c r="E249" s="214">
        <f>7.09*K1</f>
        <v>7.427689609999999</v>
      </c>
      <c r="F249" s="201">
        <f>14.71*K1</f>
        <v>15.41062259</v>
      </c>
      <c r="G249" s="219">
        <f>F249+E249</f>
        <v>22.838312199999997</v>
      </c>
      <c r="H249" s="199">
        <f t="shared" si="39"/>
        <v>742.7689609999999</v>
      </c>
      <c r="I249" s="199">
        <f t="shared" si="40"/>
        <v>1541.0622589999998</v>
      </c>
      <c r="J249" s="199">
        <f t="shared" si="41"/>
        <v>2283.8312199999996</v>
      </c>
      <c r="K249" s="1"/>
      <c r="L249" s="9"/>
      <c r="N249" s="254"/>
    </row>
    <row r="250" spans="1:14" ht="12.75">
      <c r="A250" s="72">
        <v>15</v>
      </c>
      <c r="B250" s="77" t="s">
        <v>467</v>
      </c>
      <c r="C250" s="171"/>
      <c r="D250" s="205"/>
      <c r="E250" s="205"/>
      <c r="F250" s="205"/>
      <c r="G250" s="205"/>
      <c r="H250" s="205"/>
      <c r="I250" s="205"/>
      <c r="J250" s="206"/>
      <c r="K250" s="1"/>
      <c r="L250" s="9"/>
      <c r="N250" s="254"/>
    </row>
    <row r="251" spans="1:14" ht="12.75">
      <c r="A251" s="155" t="s">
        <v>468</v>
      </c>
      <c r="B251" s="153" t="s">
        <v>469</v>
      </c>
      <c r="C251" s="80"/>
      <c r="D251" s="199"/>
      <c r="E251" s="199"/>
      <c r="F251" s="199"/>
      <c r="G251" s="199"/>
      <c r="H251" s="199"/>
      <c r="I251" s="199"/>
      <c r="J251" s="199"/>
      <c r="K251" s="1"/>
      <c r="L251" s="9"/>
      <c r="N251" s="254"/>
    </row>
    <row r="252" spans="1:14" ht="12.75">
      <c r="A252" s="78" t="s">
        <v>479</v>
      </c>
      <c r="B252" s="183" t="s">
        <v>470</v>
      </c>
      <c r="C252" s="185" t="s">
        <v>471</v>
      </c>
      <c r="D252" s="197">
        <v>36</v>
      </c>
      <c r="E252" s="214">
        <v>0</v>
      </c>
      <c r="F252" s="201">
        <f>10.29*K1</f>
        <v>10.780102409999998</v>
      </c>
      <c r="G252" s="219">
        <f>F252+E252</f>
        <v>10.780102409999998</v>
      </c>
      <c r="H252" s="199">
        <f t="shared" si="39"/>
        <v>0</v>
      </c>
      <c r="I252" s="199">
        <f t="shared" si="40"/>
        <v>388.0836867599999</v>
      </c>
      <c r="J252" s="199">
        <f t="shared" si="41"/>
        <v>388.0836867599999</v>
      </c>
      <c r="L252" s="9"/>
      <c r="N252" s="254"/>
    </row>
    <row r="253" spans="1:14" ht="25.5">
      <c r="A253" s="78" t="s">
        <v>480</v>
      </c>
      <c r="B253" s="183" t="s">
        <v>472</v>
      </c>
      <c r="C253" s="185" t="s">
        <v>471</v>
      </c>
      <c r="D253" s="197">
        <v>54</v>
      </c>
      <c r="E253" s="214">
        <v>0</v>
      </c>
      <c r="F253" s="201">
        <f>72.82*K1</f>
        <v>76.28834377999999</v>
      </c>
      <c r="G253" s="219">
        <f aca="true" t="shared" si="43" ref="G253:G259">F253+E253</f>
        <v>76.28834377999999</v>
      </c>
      <c r="H253" s="199">
        <f t="shared" si="39"/>
        <v>0</v>
      </c>
      <c r="I253" s="199">
        <f t="shared" si="40"/>
        <v>4119.570564119999</v>
      </c>
      <c r="J253" s="199">
        <f t="shared" si="41"/>
        <v>4119.570564119999</v>
      </c>
      <c r="L253" s="9"/>
      <c r="N253" s="254"/>
    </row>
    <row r="254" spans="1:14" ht="12.75">
      <c r="A254" s="78" t="s">
        <v>481</v>
      </c>
      <c r="B254" s="183" t="s">
        <v>473</v>
      </c>
      <c r="C254" s="185" t="s">
        <v>81</v>
      </c>
      <c r="D254" s="197">
        <v>360</v>
      </c>
      <c r="E254" s="214">
        <v>0</v>
      </c>
      <c r="F254" s="201">
        <f>20.21*K1</f>
        <v>21.17258209</v>
      </c>
      <c r="G254" s="219">
        <f t="shared" si="43"/>
        <v>21.17258209</v>
      </c>
      <c r="H254" s="199">
        <f t="shared" si="39"/>
        <v>0</v>
      </c>
      <c r="I254" s="199">
        <f t="shared" si="40"/>
        <v>7622.1295524</v>
      </c>
      <c r="J254" s="199">
        <f t="shared" si="41"/>
        <v>7622.1295524</v>
      </c>
      <c r="L254" s="9"/>
      <c r="N254" s="254"/>
    </row>
    <row r="255" spans="1:14" ht="12.75">
      <c r="A255" s="78" t="s">
        <v>482</v>
      </c>
      <c r="B255" s="183" t="s">
        <v>474</v>
      </c>
      <c r="C255" s="185" t="s">
        <v>471</v>
      </c>
      <c r="D255" s="197">
        <v>40</v>
      </c>
      <c r="E255" s="214">
        <v>0</v>
      </c>
      <c r="F255" s="201">
        <f>32.28*K1</f>
        <v>33.81746412</v>
      </c>
      <c r="G255" s="219">
        <f t="shared" si="43"/>
        <v>33.81746412</v>
      </c>
      <c r="H255" s="199">
        <f>D255*E255</f>
        <v>0</v>
      </c>
      <c r="I255" s="199">
        <f>D255*F255</f>
        <v>1352.6985648</v>
      </c>
      <c r="J255" s="199">
        <f>I255+H255</f>
        <v>1352.6985648</v>
      </c>
      <c r="L255" s="9"/>
      <c r="N255" s="254"/>
    </row>
    <row r="256" spans="1:14" ht="12.75">
      <c r="A256" s="78" t="s">
        <v>483</v>
      </c>
      <c r="B256" s="183" t="s">
        <v>475</v>
      </c>
      <c r="C256" s="185" t="s">
        <v>471</v>
      </c>
      <c r="D256" s="197">
        <v>36</v>
      </c>
      <c r="E256" s="214">
        <v>0</v>
      </c>
      <c r="F256" s="201">
        <f>24.27*K1</f>
        <v>25.425955829999996</v>
      </c>
      <c r="G256" s="219">
        <f t="shared" si="43"/>
        <v>25.425955829999996</v>
      </c>
      <c r="H256" s="199">
        <f>D256*E256</f>
        <v>0</v>
      </c>
      <c r="I256" s="199">
        <f>D256*F256</f>
        <v>915.3344098799998</v>
      </c>
      <c r="J256" s="199">
        <f>I256+H256</f>
        <v>915.3344098799998</v>
      </c>
      <c r="L256" s="9"/>
      <c r="N256" s="254"/>
    </row>
    <row r="257" spans="1:14" ht="12.75">
      <c r="A257" s="78" t="s">
        <v>484</v>
      </c>
      <c r="B257" s="183" t="s">
        <v>476</v>
      </c>
      <c r="C257" s="185" t="s">
        <v>81</v>
      </c>
      <c r="D257" s="197">
        <v>1050</v>
      </c>
      <c r="E257" s="214">
        <v>0</v>
      </c>
      <c r="F257" s="201">
        <f>19.61*K1</f>
        <v>20.544004689999998</v>
      </c>
      <c r="G257" s="219">
        <f t="shared" si="43"/>
        <v>20.544004689999998</v>
      </c>
      <c r="H257" s="199">
        <f>D257*E257</f>
        <v>0</v>
      </c>
      <c r="I257" s="199">
        <f>D257*F257</f>
        <v>21571.204924499998</v>
      </c>
      <c r="J257" s="199">
        <f>I257+H257</f>
        <v>21571.204924499998</v>
      </c>
      <c r="L257" s="9"/>
      <c r="N257" s="254"/>
    </row>
    <row r="258" spans="1:14" ht="12.75">
      <c r="A258" s="78" t="s">
        <v>485</v>
      </c>
      <c r="B258" s="184" t="s">
        <v>477</v>
      </c>
      <c r="C258" s="186" t="s">
        <v>81</v>
      </c>
      <c r="D258" s="197">
        <v>70</v>
      </c>
      <c r="E258" s="214">
        <v>0</v>
      </c>
      <c r="F258" s="201">
        <f>20.51*K1</f>
        <v>21.48687079</v>
      </c>
      <c r="G258" s="219">
        <f t="shared" si="43"/>
        <v>21.48687079</v>
      </c>
      <c r="H258" s="199">
        <f aca="true" t="shared" si="44" ref="H258:H313">D258*E258</f>
        <v>0</v>
      </c>
      <c r="I258" s="199">
        <f aca="true" t="shared" si="45" ref="I258:I313">D258*F258</f>
        <v>1504.0809553000001</v>
      </c>
      <c r="J258" s="199">
        <f aca="true" t="shared" si="46" ref="J258:J313">I258+H258</f>
        <v>1504.0809553000001</v>
      </c>
      <c r="L258" s="9"/>
      <c r="N258" s="254"/>
    </row>
    <row r="259" spans="1:14" ht="12.75" customHeight="1">
      <c r="A259" s="78" t="s">
        <v>486</v>
      </c>
      <c r="B259" s="184" t="s">
        <v>478</v>
      </c>
      <c r="C259" s="186" t="s">
        <v>471</v>
      </c>
      <c r="D259" s="197">
        <v>23</v>
      </c>
      <c r="E259" s="214">
        <v>0</v>
      </c>
      <c r="F259" s="201">
        <f>38.03*K1</f>
        <v>39.84133087</v>
      </c>
      <c r="G259" s="219">
        <f t="shared" si="43"/>
        <v>39.84133087</v>
      </c>
      <c r="H259" s="199">
        <f t="shared" si="44"/>
        <v>0</v>
      </c>
      <c r="I259" s="199">
        <f t="shared" si="45"/>
        <v>916.35061001</v>
      </c>
      <c r="J259" s="199">
        <f t="shared" si="46"/>
        <v>916.35061001</v>
      </c>
      <c r="L259" s="9"/>
      <c r="N259" s="254"/>
    </row>
    <row r="260" spans="1:14" ht="12.75">
      <c r="A260" s="155" t="s">
        <v>488</v>
      </c>
      <c r="B260" s="153" t="s">
        <v>487</v>
      </c>
      <c r="C260" s="80"/>
      <c r="D260" s="197"/>
      <c r="E260" s="214"/>
      <c r="F260" s="201"/>
      <c r="G260" s="219"/>
      <c r="H260" s="199"/>
      <c r="I260" s="199"/>
      <c r="J260" s="199"/>
      <c r="L260" s="9"/>
      <c r="N260" s="254"/>
    </row>
    <row r="261" spans="1:14" ht="25.5">
      <c r="A261" s="78" t="s">
        <v>503</v>
      </c>
      <c r="B261" s="184" t="s">
        <v>489</v>
      </c>
      <c r="C261" s="185" t="s">
        <v>471</v>
      </c>
      <c r="D261" s="197">
        <v>1</v>
      </c>
      <c r="E261" s="214">
        <v>0</v>
      </c>
      <c r="F261" s="201">
        <f>1443.73*K1</f>
        <v>1512.4934161699998</v>
      </c>
      <c r="G261" s="219">
        <f>F261+E261</f>
        <v>1512.4934161699998</v>
      </c>
      <c r="H261" s="199">
        <f t="shared" si="44"/>
        <v>0</v>
      </c>
      <c r="I261" s="199">
        <f t="shared" si="45"/>
        <v>1512.4934161699998</v>
      </c>
      <c r="J261" s="199">
        <f t="shared" si="46"/>
        <v>1512.4934161699998</v>
      </c>
      <c r="L261" s="9"/>
      <c r="N261" s="254"/>
    </row>
    <row r="262" spans="1:14" ht="27" customHeight="1">
      <c r="A262" s="78" t="s">
        <v>504</v>
      </c>
      <c r="B262" s="192" t="s">
        <v>490</v>
      </c>
      <c r="C262" s="185" t="s">
        <v>471</v>
      </c>
      <c r="D262" s="197">
        <v>5</v>
      </c>
      <c r="E262" s="214">
        <v>0</v>
      </c>
      <c r="F262" s="201">
        <f>217.18*K1</f>
        <v>227.52406621999998</v>
      </c>
      <c r="G262" s="219">
        <f aca="true" t="shared" si="47" ref="G262:G274">F262+E262</f>
        <v>227.52406621999998</v>
      </c>
      <c r="H262" s="199">
        <f t="shared" si="44"/>
        <v>0</v>
      </c>
      <c r="I262" s="199">
        <f t="shared" si="45"/>
        <v>1137.6203311</v>
      </c>
      <c r="J262" s="199">
        <f t="shared" si="46"/>
        <v>1137.6203311</v>
      </c>
      <c r="L262" s="9"/>
      <c r="N262" s="254"/>
    </row>
    <row r="263" spans="1:14" ht="12.75">
      <c r="A263" s="78" t="s">
        <v>505</v>
      </c>
      <c r="B263" s="187" t="s">
        <v>491</v>
      </c>
      <c r="C263" s="185" t="s">
        <v>471</v>
      </c>
      <c r="D263" s="197">
        <v>9</v>
      </c>
      <c r="E263" s="214">
        <v>0</v>
      </c>
      <c r="F263" s="201">
        <f>44.93*K1</f>
        <v>47.06997096999999</v>
      </c>
      <c r="G263" s="219">
        <f t="shared" si="47"/>
        <v>47.06997096999999</v>
      </c>
      <c r="H263" s="199">
        <f t="shared" si="44"/>
        <v>0</v>
      </c>
      <c r="I263" s="199">
        <f t="shared" si="45"/>
        <v>423.62973872999993</v>
      </c>
      <c r="J263" s="199">
        <f t="shared" si="46"/>
        <v>423.62973872999993</v>
      </c>
      <c r="L263" s="9"/>
      <c r="N263" s="254"/>
    </row>
    <row r="264" spans="1:14" ht="25.5">
      <c r="A264" s="78" t="s">
        <v>506</v>
      </c>
      <c r="B264" s="192" t="s">
        <v>492</v>
      </c>
      <c r="C264" s="185" t="s">
        <v>471</v>
      </c>
      <c r="D264" s="197">
        <v>3</v>
      </c>
      <c r="E264" s="214">
        <v>0</v>
      </c>
      <c r="F264" s="201">
        <f>167.64*K1</f>
        <v>175.62452555999997</v>
      </c>
      <c r="G264" s="219">
        <f t="shared" si="47"/>
        <v>175.62452555999997</v>
      </c>
      <c r="H264" s="199">
        <f t="shared" si="44"/>
        <v>0</v>
      </c>
      <c r="I264" s="199">
        <f t="shared" si="45"/>
        <v>526.8735766799999</v>
      </c>
      <c r="J264" s="199">
        <f t="shared" si="46"/>
        <v>526.8735766799999</v>
      </c>
      <c r="L264" s="9"/>
      <c r="N264" s="254"/>
    </row>
    <row r="265" spans="1:14" ht="25.5">
      <c r="A265" s="78" t="s">
        <v>507</v>
      </c>
      <c r="B265" s="192" t="s">
        <v>493</v>
      </c>
      <c r="C265" s="185" t="s">
        <v>471</v>
      </c>
      <c r="D265" s="197">
        <v>3</v>
      </c>
      <c r="E265" s="214">
        <v>0</v>
      </c>
      <c r="F265" s="201">
        <f>212.24*K1</f>
        <v>222.34877896</v>
      </c>
      <c r="G265" s="219">
        <f t="shared" si="47"/>
        <v>222.34877896</v>
      </c>
      <c r="H265" s="199">
        <f t="shared" si="44"/>
        <v>0</v>
      </c>
      <c r="I265" s="199">
        <f t="shared" si="45"/>
        <v>667.04633688</v>
      </c>
      <c r="J265" s="199">
        <f t="shared" si="46"/>
        <v>667.04633688</v>
      </c>
      <c r="L265" s="9"/>
      <c r="N265" s="254"/>
    </row>
    <row r="266" spans="1:14" ht="12.75">
      <c r="A266" s="78" t="s">
        <v>508</v>
      </c>
      <c r="B266" s="188" t="s">
        <v>494</v>
      </c>
      <c r="C266" s="185" t="s">
        <v>471</v>
      </c>
      <c r="D266" s="197">
        <v>4</v>
      </c>
      <c r="E266" s="214">
        <v>0</v>
      </c>
      <c r="F266" s="201">
        <f>299.97*K1</f>
        <v>314.25727113</v>
      </c>
      <c r="G266" s="219">
        <f t="shared" si="47"/>
        <v>314.25727113</v>
      </c>
      <c r="H266" s="199">
        <f t="shared" si="44"/>
        <v>0</v>
      </c>
      <c r="I266" s="199">
        <f t="shared" si="45"/>
        <v>1257.02908452</v>
      </c>
      <c r="J266" s="199">
        <f t="shared" si="46"/>
        <v>1257.02908452</v>
      </c>
      <c r="L266" s="9"/>
      <c r="N266" s="254"/>
    </row>
    <row r="267" spans="1:14" ht="12.75">
      <c r="A267" s="78" t="s">
        <v>509</v>
      </c>
      <c r="B267" s="187" t="s">
        <v>495</v>
      </c>
      <c r="C267" s="185" t="s">
        <v>81</v>
      </c>
      <c r="D267" s="197">
        <v>160</v>
      </c>
      <c r="E267" s="214">
        <v>0</v>
      </c>
      <c r="F267" s="201">
        <f>47.47*K1</f>
        <v>49.73094862999999</v>
      </c>
      <c r="G267" s="219">
        <f t="shared" si="47"/>
        <v>49.73094862999999</v>
      </c>
      <c r="H267" s="199">
        <f t="shared" si="44"/>
        <v>0</v>
      </c>
      <c r="I267" s="199">
        <f t="shared" si="45"/>
        <v>7956.951780799999</v>
      </c>
      <c r="J267" s="199">
        <f t="shared" si="46"/>
        <v>7956.951780799999</v>
      </c>
      <c r="L267" s="9"/>
      <c r="N267" s="254"/>
    </row>
    <row r="268" spans="1:14" ht="12.75">
      <c r="A268" s="78" t="s">
        <v>510</v>
      </c>
      <c r="B268" s="187" t="s">
        <v>496</v>
      </c>
      <c r="C268" s="185" t="s">
        <v>81</v>
      </c>
      <c r="D268" s="197">
        <v>40</v>
      </c>
      <c r="E268" s="214">
        <v>0</v>
      </c>
      <c r="F268" s="201">
        <f>17.37*K1</f>
        <v>18.19731573</v>
      </c>
      <c r="G268" s="219">
        <f t="shared" si="47"/>
        <v>18.19731573</v>
      </c>
      <c r="H268" s="199">
        <f t="shared" si="44"/>
        <v>0</v>
      </c>
      <c r="I268" s="199">
        <f t="shared" si="45"/>
        <v>727.8926292</v>
      </c>
      <c r="J268" s="199">
        <f t="shared" si="46"/>
        <v>727.8926292</v>
      </c>
      <c r="L268" s="9"/>
      <c r="N268" s="254"/>
    </row>
    <row r="269" spans="1:14" ht="25.5">
      <c r="A269" s="78" t="s">
        <v>511</v>
      </c>
      <c r="B269" s="192" t="s">
        <v>497</v>
      </c>
      <c r="C269" s="185" t="s">
        <v>81</v>
      </c>
      <c r="D269" s="197">
        <v>6</v>
      </c>
      <c r="E269" s="214">
        <v>0</v>
      </c>
      <c r="F269" s="201">
        <f>113.29*K1</f>
        <v>118.68588941</v>
      </c>
      <c r="G269" s="219">
        <f t="shared" si="47"/>
        <v>118.68588941</v>
      </c>
      <c r="H269" s="199">
        <f t="shared" si="44"/>
        <v>0</v>
      </c>
      <c r="I269" s="199">
        <f t="shared" si="45"/>
        <v>712.11533646</v>
      </c>
      <c r="J269" s="199">
        <f t="shared" si="46"/>
        <v>712.11533646</v>
      </c>
      <c r="L269" s="9"/>
      <c r="N269" s="254"/>
    </row>
    <row r="270" spans="1:14" ht="12.75">
      <c r="A270" s="78" t="s">
        <v>512</v>
      </c>
      <c r="B270" s="183" t="s">
        <v>498</v>
      </c>
      <c r="C270" s="185" t="s">
        <v>81</v>
      </c>
      <c r="D270" s="197">
        <v>180</v>
      </c>
      <c r="E270" s="214">
        <v>0</v>
      </c>
      <c r="F270" s="201">
        <f>20.29*K1</f>
        <v>21.256392409999997</v>
      </c>
      <c r="G270" s="219">
        <f t="shared" si="47"/>
        <v>21.256392409999997</v>
      </c>
      <c r="H270" s="199">
        <f t="shared" si="44"/>
        <v>0</v>
      </c>
      <c r="I270" s="199">
        <f t="shared" si="45"/>
        <v>3826.1506337999995</v>
      </c>
      <c r="J270" s="199">
        <f t="shared" si="46"/>
        <v>3826.1506337999995</v>
      </c>
      <c r="L270" s="9"/>
      <c r="N270" s="254"/>
    </row>
    <row r="271" spans="1:14" ht="25.5">
      <c r="A271" s="78" t="s">
        <v>513</v>
      </c>
      <c r="B271" s="184" t="s">
        <v>499</v>
      </c>
      <c r="C271" s="185" t="s">
        <v>471</v>
      </c>
      <c r="D271" s="197">
        <v>2</v>
      </c>
      <c r="E271" s="214">
        <v>0</v>
      </c>
      <c r="F271" s="201">
        <f>537.9*K1</f>
        <v>563.5196391</v>
      </c>
      <c r="G271" s="219">
        <f t="shared" si="47"/>
        <v>563.5196391</v>
      </c>
      <c r="H271" s="199">
        <f t="shared" si="44"/>
        <v>0</v>
      </c>
      <c r="I271" s="199">
        <f t="shared" si="45"/>
        <v>1127.0392782</v>
      </c>
      <c r="J271" s="199">
        <f t="shared" si="46"/>
        <v>1127.0392782</v>
      </c>
      <c r="L271" s="9"/>
      <c r="N271" s="254"/>
    </row>
    <row r="272" spans="1:14" ht="12.75">
      <c r="A272" s="78" t="s">
        <v>514</v>
      </c>
      <c r="B272" s="184" t="s">
        <v>500</v>
      </c>
      <c r="C272" s="185" t="s">
        <v>50</v>
      </c>
      <c r="D272" s="197">
        <v>1.28</v>
      </c>
      <c r="E272" s="214">
        <v>0</v>
      </c>
      <c r="F272" s="201">
        <f>170.2*K1</f>
        <v>178.30645579999998</v>
      </c>
      <c r="G272" s="219">
        <f t="shared" si="47"/>
        <v>178.30645579999998</v>
      </c>
      <c r="H272" s="199">
        <f t="shared" si="44"/>
        <v>0</v>
      </c>
      <c r="I272" s="199">
        <f t="shared" si="45"/>
        <v>228.23226342399997</v>
      </c>
      <c r="J272" s="199">
        <f t="shared" si="46"/>
        <v>228.23226342399997</v>
      </c>
      <c r="L272" s="9"/>
      <c r="N272" s="254"/>
    </row>
    <row r="273" spans="1:14" ht="38.25">
      <c r="A273" s="78" t="s">
        <v>515</v>
      </c>
      <c r="B273" s="189" t="s">
        <v>501</v>
      </c>
      <c r="C273" s="185" t="s">
        <v>471</v>
      </c>
      <c r="D273" s="197">
        <v>2</v>
      </c>
      <c r="E273" s="214">
        <v>0</v>
      </c>
      <c r="F273" s="201">
        <f>537.9*K1</f>
        <v>563.5196391</v>
      </c>
      <c r="G273" s="219">
        <f t="shared" si="47"/>
        <v>563.5196391</v>
      </c>
      <c r="H273" s="199">
        <f t="shared" si="44"/>
        <v>0</v>
      </c>
      <c r="I273" s="199">
        <f t="shared" si="45"/>
        <v>1127.0392782</v>
      </c>
      <c r="J273" s="199">
        <f t="shared" si="46"/>
        <v>1127.0392782</v>
      </c>
      <c r="L273" s="9"/>
      <c r="N273" s="254"/>
    </row>
    <row r="274" spans="1:14" ht="12.75">
      <c r="A274" s="78" t="s">
        <v>516</v>
      </c>
      <c r="B274" s="190" t="s">
        <v>502</v>
      </c>
      <c r="C274" s="185" t="s">
        <v>49</v>
      </c>
      <c r="D274" s="197">
        <v>2</v>
      </c>
      <c r="E274" s="214">
        <v>0</v>
      </c>
      <c r="F274" s="201">
        <f>431.56*K1</f>
        <v>452.11477124</v>
      </c>
      <c r="G274" s="219">
        <f t="shared" si="47"/>
        <v>452.11477124</v>
      </c>
      <c r="H274" s="199">
        <f t="shared" si="44"/>
        <v>0</v>
      </c>
      <c r="I274" s="199">
        <f t="shared" si="45"/>
        <v>904.22954248</v>
      </c>
      <c r="J274" s="199">
        <f t="shared" si="46"/>
        <v>904.22954248</v>
      </c>
      <c r="L274" s="9"/>
      <c r="N274" s="254"/>
    </row>
    <row r="275" spans="1:14" ht="12.75">
      <c r="A275" s="155" t="s">
        <v>517</v>
      </c>
      <c r="B275" s="153" t="s">
        <v>518</v>
      </c>
      <c r="C275" s="80"/>
      <c r="D275" s="197"/>
      <c r="E275" s="214"/>
      <c r="F275" s="201"/>
      <c r="G275" s="219"/>
      <c r="H275" s="199"/>
      <c r="I275" s="199"/>
      <c r="J275" s="199"/>
      <c r="L275" s="9"/>
      <c r="N275" s="254"/>
    </row>
    <row r="276" spans="1:14" ht="12.75">
      <c r="A276" s="78" t="s">
        <v>549</v>
      </c>
      <c r="B276" s="187" t="s">
        <v>519</v>
      </c>
      <c r="C276" s="185" t="s">
        <v>471</v>
      </c>
      <c r="D276" s="197">
        <v>3</v>
      </c>
      <c r="E276" s="214">
        <v>0</v>
      </c>
      <c r="F276" s="201">
        <f>167.64*K1</f>
        <v>175.62452555999997</v>
      </c>
      <c r="G276" s="219">
        <f>F276+E276</f>
        <v>175.62452555999997</v>
      </c>
      <c r="H276" s="199">
        <f t="shared" si="44"/>
        <v>0</v>
      </c>
      <c r="I276" s="199">
        <f t="shared" si="45"/>
        <v>526.8735766799999</v>
      </c>
      <c r="J276" s="199">
        <f t="shared" si="46"/>
        <v>526.8735766799999</v>
      </c>
      <c r="L276" s="9"/>
      <c r="N276" s="254"/>
    </row>
    <row r="277" spans="1:14" ht="25.5">
      <c r="A277" s="78" t="s">
        <v>550</v>
      </c>
      <c r="B277" s="192" t="s">
        <v>520</v>
      </c>
      <c r="C277" s="185" t="s">
        <v>471</v>
      </c>
      <c r="D277" s="197">
        <v>24</v>
      </c>
      <c r="E277" s="214">
        <v>0</v>
      </c>
      <c r="F277" s="201">
        <f>60.64*K1</f>
        <v>63.528222559999996</v>
      </c>
      <c r="G277" s="219">
        <f aca="true" t="shared" si="48" ref="G277:G307">F277+E277</f>
        <v>63.528222559999996</v>
      </c>
      <c r="H277" s="199">
        <f t="shared" si="44"/>
        <v>0</v>
      </c>
      <c r="I277" s="199">
        <f t="shared" si="45"/>
        <v>1524.67734144</v>
      </c>
      <c r="J277" s="199">
        <f t="shared" si="46"/>
        <v>1524.67734144</v>
      </c>
      <c r="L277" s="9"/>
      <c r="N277" s="254"/>
    </row>
    <row r="278" spans="1:14" ht="25.5">
      <c r="A278" s="78" t="s">
        <v>551</v>
      </c>
      <c r="B278" s="192" t="s">
        <v>521</v>
      </c>
      <c r="C278" s="185" t="s">
        <v>471</v>
      </c>
      <c r="D278" s="197">
        <v>1</v>
      </c>
      <c r="E278" s="214">
        <v>0</v>
      </c>
      <c r="F278" s="201">
        <f>924.94*K1</f>
        <v>968.99396726</v>
      </c>
      <c r="G278" s="219">
        <f t="shared" si="48"/>
        <v>968.99396726</v>
      </c>
      <c r="H278" s="199">
        <f t="shared" si="44"/>
        <v>0</v>
      </c>
      <c r="I278" s="199">
        <f t="shared" si="45"/>
        <v>968.99396726</v>
      </c>
      <c r="J278" s="199">
        <f t="shared" si="46"/>
        <v>968.99396726</v>
      </c>
      <c r="L278" s="9"/>
      <c r="N278" s="254"/>
    </row>
    <row r="279" spans="1:14" ht="25.5">
      <c r="A279" s="78" t="s">
        <v>552</v>
      </c>
      <c r="B279" s="192" t="s">
        <v>522</v>
      </c>
      <c r="C279" s="185" t="s">
        <v>471</v>
      </c>
      <c r="D279" s="197">
        <v>2</v>
      </c>
      <c r="E279" s="214">
        <v>0</v>
      </c>
      <c r="F279" s="201">
        <f>1178.9*K1</f>
        <v>1235.0498281</v>
      </c>
      <c r="G279" s="219">
        <f t="shared" si="48"/>
        <v>1235.0498281</v>
      </c>
      <c r="H279" s="199">
        <f t="shared" si="44"/>
        <v>0</v>
      </c>
      <c r="I279" s="199">
        <f t="shared" si="45"/>
        <v>2470.0996562</v>
      </c>
      <c r="J279" s="199">
        <f t="shared" si="46"/>
        <v>2470.0996562</v>
      </c>
      <c r="L279" s="9"/>
      <c r="N279" s="254"/>
    </row>
    <row r="280" spans="1:14" ht="12.75">
      <c r="A280" s="78" t="s">
        <v>553</v>
      </c>
      <c r="B280" s="192" t="s">
        <v>523</v>
      </c>
      <c r="C280" s="185" t="s">
        <v>471</v>
      </c>
      <c r="D280" s="197">
        <v>6</v>
      </c>
      <c r="E280" s="214">
        <v>0</v>
      </c>
      <c r="F280" s="201">
        <f>193.05*K1</f>
        <v>202.24477844999998</v>
      </c>
      <c r="G280" s="219">
        <f t="shared" si="48"/>
        <v>202.24477844999998</v>
      </c>
      <c r="H280" s="199">
        <f t="shared" si="44"/>
        <v>0</v>
      </c>
      <c r="I280" s="199">
        <f t="shared" si="45"/>
        <v>1213.4686706999998</v>
      </c>
      <c r="J280" s="199">
        <f t="shared" si="46"/>
        <v>1213.4686706999998</v>
      </c>
      <c r="L280" s="9"/>
      <c r="N280" s="254"/>
    </row>
    <row r="281" spans="1:14" ht="25.5">
      <c r="A281" s="78" t="s">
        <v>554</v>
      </c>
      <c r="B281" s="192" t="s">
        <v>524</v>
      </c>
      <c r="C281" s="185" t="s">
        <v>471</v>
      </c>
      <c r="D281" s="197">
        <v>2</v>
      </c>
      <c r="E281" s="214">
        <v>0</v>
      </c>
      <c r="F281" s="201">
        <f>36689.9*K1</f>
        <v>38437.403247099995</v>
      </c>
      <c r="G281" s="219">
        <f t="shared" si="48"/>
        <v>38437.403247099995</v>
      </c>
      <c r="H281" s="199">
        <f t="shared" si="44"/>
        <v>0</v>
      </c>
      <c r="I281" s="199">
        <f t="shared" si="45"/>
        <v>76874.80649419999</v>
      </c>
      <c r="J281" s="199">
        <f t="shared" si="46"/>
        <v>76874.80649419999</v>
      </c>
      <c r="L281" s="9"/>
      <c r="N281" s="254"/>
    </row>
    <row r="282" spans="1:14" ht="12.75">
      <c r="A282" s="78" t="s">
        <v>555</v>
      </c>
      <c r="B282" s="192" t="s">
        <v>525</v>
      </c>
      <c r="C282" s="185" t="s">
        <v>81</v>
      </c>
      <c r="D282" s="197">
        <v>50</v>
      </c>
      <c r="E282" s="214">
        <v>0</v>
      </c>
      <c r="F282" s="201">
        <f>31.56*K1</f>
        <v>33.063171239999996</v>
      </c>
      <c r="G282" s="219">
        <f t="shared" si="48"/>
        <v>33.063171239999996</v>
      </c>
      <c r="H282" s="199">
        <f t="shared" si="44"/>
        <v>0</v>
      </c>
      <c r="I282" s="199">
        <f t="shared" si="45"/>
        <v>1653.1585619999998</v>
      </c>
      <c r="J282" s="199">
        <f t="shared" si="46"/>
        <v>1653.1585619999998</v>
      </c>
      <c r="L282" s="9"/>
      <c r="N282" s="254"/>
    </row>
    <row r="283" spans="1:14" ht="12.75">
      <c r="A283" s="78" t="s">
        <v>556</v>
      </c>
      <c r="B283" s="192" t="s">
        <v>526</v>
      </c>
      <c r="C283" s="185" t="s">
        <v>471</v>
      </c>
      <c r="D283" s="197">
        <v>40</v>
      </c>
      <c r="E283" s="214">
        <v>0</v>
      </c>
      <c r="F283" s="201">
        <f>15.09*K1</f>
        <v>15.80872161</v>
      </c>
      <c r="G283" s="219">
        <f t="shared" si="48"/>
        <v>15.80872161</v>
      </c>
      <c r="H283" s="199">
        <f t="shared" si="44"/>
        <v>0</v>
      </c>
      <c r="I283" s="199">
        <f t="shared" si="45"/>
        <v>632.3488643999999</v>
      </c>
      <c r="J283" s="199">
        <f t="shared" si="46"/>
        <v>632.3488643999999</v>
      </c>
      <c r="L283" s="9"/>
      <c r="N283" s="254"/>
    </row>
    <row r="284" spans="1:14" ht="12.75">
      <c r="A284" s="78" t="s">
        <v>557</v>
      </c>
      <c r="B284" s="192" t="s">
        <v>527</v>
      </c>
      <c r="C284" s="185" t="s">
        <v>471</v>
      </c>
      <c r="D284" s="197">
        <v>9</v>
      </c>
      <c r="E284" s="214">
        <v>0</v>
      </c>
      <c r="F284" s="201">
        <f>14.58*K1</f>
        <v>15.27443082</v>
      </c>
      <c r="G284" s="219">
        <f t="shared" si="48"/>
        <v>15.27443082</v>
      </c>
      <c r="H284" s="199">
        <f t="shared" si="44"/>
        <v>0</v>
      </c>
      <c r="I284" s="199">
        <f t="shared" si="45"/>
        <v>137.46987737999999</v>
      </c>
      <c r="J284" s="199">
        <f t="shared" si="46"/>
        <v>137.46987737999999</v>
      </c>
      <c r="L284" s="9"/>
      <c r="N284" s="254"/>
    </row>
    <row r="285" spans="1:14" ht="27" customHeight="1">
      <c r="A285" s="78" t="s">
        <v>558</v>
      </c>
      <c r="B285" s="192" t="s">
        <v>528</v>
      </c>
      <c r="C285" s="185" t="s">
        <v>471</v>
      </c>
      <c r="D285" s="197">
        <v>1</v>
      </c>
      <c r="E285" s="214">
        <v>0</v>
      </c>
      <c r="F285" s="201">
        <f>22230.68*K1</f>
        <v>23289.505057719998</v>
      </c>
      <c r="G285" s="219">
        <f t="shared" si="48"/>
        <v>23289.505057719998</v>
      </c>
      <c r="H285" s="199">
        <f t="shared" si="44"/>
        <v>0</v>
      </c>
      <c r="I285" s="199">
        <f t="shared" si="45"/>
        <v>23289.505057719998</v>
      </c>
      <c r="J285" s="199">
        <f t="shared" si="46"/>
        <v>23289.505057719998</v>
      </c>
      <c r="L285" s="9"/>
      <c r="N285" s="254"/>
    </row>
    <row r="286" spans="1:14" ht="25.5">
      <c r="A286" s="78" t="s">
        <v>559</v>
      </c>
      <c r="B286" s="192" t="s">
        <v>529</v>
      </c>
      <c r="C286" s="185" t="s">
        <v>471</v>
      </c>
      <c r="D286" s="197">
        <v>3</v>
      </c>
      <c r="E286" s="214">
        <v>0</v>
      </c>
      <c r="F286" s="201">
        <f>68.92*K1</f>
        <v>72.20259068</v>
      </c>
      <c r="G286" s="219">
        <f t="shared" si="48"/>
        <v>72.20259068</v>
      </c>
      <c r="H286" s="199">
        <f t="shared" si="44"/>
        <v>0</v>
      </c>
      <c r="I286" s="199">
        <f t="shared" si="45"/>
        <v>216.60777204</v>
      </c>
      <c r="J286" s="199">
        <f t="shared" si="46"/>
        <v>216.60777204</v>
      </c>
      <c r="L286" s="9"/>
      <c r="N286" s="254"/>
    </row>
    <row r="287" spans="1:14" ht="12.75">
      <c r="A287" s="78" t="s">
        <v>560</v>
      </c>
      <c r="B287" s="192" t="s">
        <v>530</v>
      </c>
      <c r="C287" s="185" t="s">
        <v>471</v>
      </c>
      <c r="D287" s="197">
        <v>1</v>
      </c>
      <c r="E287" s="214">
        <v>0</v>
      </c>
      <c r="F287" s="201">
        <f>184.53*K1</f>
        <v>193.31897937</v>
      </c>
      <c r="G287" s="219">
        <f t="shared" si="48"/>
        <v>193.31897937</v>
      </c>
      <c r="H287" s="199">
        <f t="shared" si="44"/>
        <v>0</v>
      </c>
      <c r="I287" s="199">
        <f t="shared" si="45"/>
        <v>193.31897937</v>
      </c>
      <c r="J287" s="199">
        <f t="shared" si="46"/>
        <v>193.31897937</v>
      </c>
      <c r="L287" s="9"/>
      <c r="N287" s="254"/>
    </row>
    <row r="288" spans="1:14" ht="12.75">
      <c r="A288" s="78" t="s">
        <v>561</v>
      </c>
      <c r="B288" s="192" t="s">
        <v>531</v>
      </c>
      <c r="C288" s="185" t="s">
        <v>471</v>
      </c>
      <c r="D288" s="197">
        <v>3</v>
      </c>
      <c r="E288" s="214">
        <v>0</v>
      </c>
      <c r="F288" s="201">
        <f>302.83*K1</f>
        <v>317.25349006999994</v>
      </c>
      <c r="G288" s="219">
        <f t="shared" si="48"/>
        <v>317.25349006999994</v>
      </c>
      <c r="H288" s="199">
        <f t="shared" si="44"/>
        <v>0</v>
      </c>
      <c r="I288" s="199">
        <f t="shared" si="45"/>
        <v>951.7604702099998</v>
      </c>
      <c r="J288" s="199">
        <f t="shared" si="46"/>
        <v>951.7604702099998</v>
      </c>
      <c r="L288" s="9"/>
      <c r="N288" s="254"/>
    </row>
    <row r="289" spans="1:14" ht="25.5">
      <c r="A289" s="78" t="s">
        <v>562</v>
      </c>
      <c r="B289" s="192" t="s">
        <v>532</v>
      </c>
      <c r="C289" s="185" t="s">
        <v>471</v>
      </c>
      <c r="D289" s="197">
        <v>1</v>
      </c>
      <c r="E289" s="214">
        <v>0</v>
      </c>
      <c r="F289" s="201">
        <f>1500.16*K1</f>
        <v>1571.61112064</v>
      </c>
      <c r="G289" s="219">
        <f t="shared" si="48"/>
        <v>1571.61112064</v>
      </c>
      <c r="H289" s="199">
        <f t="shared" si="44"/>
        <v>0</v>
      </c>
      <c r="I289" s="199">
        <f t="shared" si="45"/>
        <v>1571.61112064</v>
      </c>
      <c r="J289" s="199">
        <f t="shared" si="46"/>
        <v>1571.61112064</v>
      </c>
      <c r="L289" s="9"/>
      <c r="N289" s="254"/>
    </row>
    <row r="290" spans="1:14" ht="12.75" customHeight="1">
      <c r="A290" s="78" t="s">
        <v>563</v>
      </c>
      <c r="B290" s="192" t="s">
        <v>533</v>
      </c>
      <c r="C290" s="185" t="s">
        <v>471</v>
      </c>
      <c r="D290" s="197">
        <v>17</v>
      </c>
      <c r="E290" s="214">
        <v>0</v>
      </c>
      <c r="F290" s="201">
        <f>26.31*K1</f>
        <v>27.563118989999996</v>
      </c>
      <c r="G290" s="219">
        <f t="shared" si="48"/>
        <v>27.563118989999996</v>
      </c>
      <c r="H290" s="199">
        <f t="shared" si="44"/>
        <v>0</v>
      </c>
      <c r="I290" s="199">
        <f t="shared" si="45"/>
        <v>468.57302282999996</v>
      </c>
      <c r="J290" s="199">
        <f t="shared" si="46"/>
        <v>468.57302282999996</v>
      </c>
      <c r="L290" s="9"/>
      <c r="N290" s="254"/>
    </row>
    <row r="291" spans="1:14" ht="12.75">
      <c r="A291" s="78" t="s">
        <v>564</v>
      </c>
      <c r="B291" s="192" t="s">
        <v>534</v>
      </c>
      <c r="C291" s="185" t="s">
        <v>471</v>
      </c>
      <c r="D291" s="197">
        <v>18</v>
      </c>
      <c r="E291" s="214">
        <v>0</v>
      </c>
      <c r="F291" s="201">
        <f>26.5*K1</f>
        <v>27.762168499999998</v>
      </c>
      <c r="G291" s="219">
        <f t="shared" si="48"/>
        <v>27.762168499999998</v>
      </c>
      <c r="H291" s="199">
        <f t="shared" si="44"/>
        <v>0</v>
      </c>
      <c r="I291" s="199">
        <f t="shared" si="45"/>
        <v>499.71903299999997</v>
      </c>
      <c r="J291" s="199">
        <f t="shared" si="46"/>
        <v>499.71903299999997</v>
      </c>
      <c r="L291" s="9"/>
      <c r="N291" s="254"/>
    </row>
    <row r="292" spans="1:14" ht="12.75">
      <c r="A292" s="78" t="s">
        <v>565</v>
      </c>
      <c r="B292" s="192" t="s">
        <v>494</v>
      </c>
      <c r="C292" s="185" t="s">
        <v>471</v>
      </c>
      <c r="D292" s="197">
        <v>4</v>
      </c>
      <c r="E292" s="214">
        <v>0</v>
      </c>
      <c r="F292" s="201">
        <f>299.97*K1</f>
        <v>314.25727113</v>
      </c>
      <c r="G292" s="219">
        <f t="shared" si="48"/>
        <v>314.25727113</v>
      </c>
      <c r="H292" s="199">
        <f t="shared" si="44"/>
        <v>0</v>
      </c>
      <c r="I292" s="199">
        <f t="shared" si="45"/>
        <v>1257.02908452</v>
      </c>
      <c r="J292" s="199">
        <f t="shared" si="46"/>
        <v>1257.02908452</v>
      </c>
      <c r="L292" s="9"/>
      <c r="N292" s="254"/>
    </row>
    <row r="293" spans="1:14" ht="12.75">
      <c r="A293" s="78" t="s">
        <v>566</v>
      </c>
      <c r="B293" s="192" t="s">
        <v>535</v>
      </c>
      <c r="C293" s="185" t="s">
        <v>81</v>
      </c>
      <c r="D293" s="197">
        <v>180</v>
      </c>
      <c r="E293" s="214">
        <v>0</v>
      </c>
      <c r="F293" s="201">
        <f>109.73*K1</f>
        <v>114.95633017</v>
      </c>
      <c r="G293" s="219">
        <f t="shared" si="48"/>
        <v>114.95633017</v>
      </c>
      <c r="H293" s="199">
        <f t="shared" si="44"/>
        <v>0</v>
      </c>
      <c r="I293" s="199">
        <f t="shared" si="45"/>
        <v>20692.1394306</v>
      </c>
      <c r="J293" s="199">
        <f t="shared" si="46"/>
        <v>20692.1394306</v>
      </c>
      <c r="L293" s="9"/>
      <c r="N293" s="254"/>
    </row>
    <row r="294" spans="1:14" ht="12.75">
      <c r="A294" s="78" t="s">
        <v>567</v>
      </c>
      <c r="B294" s="192" t="s">
        <v>536</v>
      </c>
      <c r="C294" s="185" t="s">
        <v>81</v>
      </c>
      <c r="D294" s="197">
        <v>60</v>
      </c>
      <c r="E294" s="214">
        <v>0</v>
      </c>
      <c r="F294" s="201">
        <f>308*K1</f>
        <v>322.66973199999995</v>
      </c>
      <c r="G294" s="219">
        <f t="shared" si="48"/>
        <v>322.66973199999995</v>
      </c>
      <c r="H294" s="199">
        <f t="shared" si="44"/>
        <v>0</v>
      </c>
      <c r="I294" s="199">
        <f t="shared" si="45"/>
        <v>19360.183919999996</v>
      </c>
      <c r="J294" s="199">
        <f t="shared" si="46"/>
        <v>19360.183919999996</v>
      </c>
      <c r="L294" s="9"/>
      <c r="N294" s="254"/>
    </row>
    <row r="295" spans="1:14" ht="12.75">
      <c r="A295" s="78" t="s">
        <v>568</v>
      </c>
      <c r="B295" s="192" t="s">
        <v>473</v>
      </c>
      <c r="C295" s="185" t="s">
        <v>81</v>
      </c>
      <c r="D295" s="197">
        <v>40</v>
      </c>
      <c r="E295" s="214">
        <v>0</v>
      </c>
      <c r="F295" s="201">
        <f>20.21*K1</f>
        <v>21.17258209</v>
      </c>
      <c r="G295" s="219">
        <f t="shared" si="48"/>
        <v>21.17258209</v>
      </c>
      <c r="H295" s="199">
        <f t="shared" si="44"/>
        <v>0</v>
      </c>
      <c r="I295" s="199">
        <f t="shared" si="45"/>
        <v>846.9032835999999</v>
      </c>
      <c r="J295" s="199">
        <f t="shared" si="46"/>
        <v>846.9032835999999</v>
      </c>
      <c r="L295" s="9"/>
      <c r="N295" s="254"/>
    </row>
    <row r="296" spans="1:14" ht="12.75">
      <c r="A296" s="78" t="s">
        <v>569</v>
      </c>
      <c r="B296" s="192" t="s">
        <v>537</v>
      </c>
      <c r="C296" s="185" t="s">
        <v>81</v>
      </c>
      <c r="D296" s="197">
        <v>50</v>
      </c>
      <c r="E296" s="214">
        <v>0</v>
      </c>
      <c r="F296" s="201">
        <f>13.63*K1</f>
        <v>14.279183269999999</v>
      </c>
      <c r="G296" s="219">
        <f t="shared" si="48"/>
        <v>14.279183269999999</v>
      </c>
      <c r="H296" s="199">
        <f t="shared" si="44"/>
        <v>0</v>
      </c>
      <c r="I296" s="199">
        <f t="shared" si="45"/>
        <v>713.9591634999999</v>
      </c>
      <c r="J296" s="199">
        <f t="shared" si="46"/>
        <v>713.9591634999999</v>
      </c>
      <c r="L296" s="9"/>
      <c r="N296" s="254"/>
    </row>
    <row r="297" spans="1:14" ht="12.75">
      <c r="A297" s="78" t="s">
        <v>570</v>
      </c>
      <c r="B297" s="192" t="s">
        <v>538</v>
      </c>
      <c r="C297" s="185" t="s">
        <v>471</v>
      </c>
      <c r="D297" s="197">
        <v>32</v>
      </c>
      <c r="E297" s="214">
        <v>0</v>
      </c>
      <c r="F297" s="201">
        <f>20.52*K1</f>
        <v>21.497347079999997</v>
      </c>
      <c r="G297" s="219">
        <f t="shared" si="48"/>
        <v>21.497347079999997</v>
      </c>
      <c r="H297" s="199">
        <f t="shared" si="44"/>
        <v>0</v>
      </c>
      <c r="I297" s="199">
        <f t="shared" si="45"/>
        <v>687.9151065599999</v>
      </c>
      <c r="J297" s="199">
        <f t="shared" si="46"/>
        <v>687.9151065599999</v>
      </c>
      <c r="L297" s="9"/>
      <c r="N297" s="254"/>
    </row>
    <row r="298" spans="1:14" ht="12.75">
      <c r="A298" s="78" t="s">
        <v>571</v>
      </c>
      <c r="B298" s="192" t="s">
        <v>539</v>
      </c>
      <c r="C298" s="185" t="s">
        <v>471</v>
      </c>
      <c r="D298" s="197">
        <v>32</v>
      </c>
      <c r="E298" s="214">
        <v>0</v>
      </c>
      <c r="F298" s="201">
        <f>7.45*K1</f>
        <v>7.80483605</v>
      </c>
      <c r="G298" s="219">
        <f t="shared" si="48"/>
        <v>7.80483605</v>
      </c>
      <c r="H298" s="199">
        <f t="shared" si="44"/>
        <v>0</v>
      </c>
      <c r="I298" s="199">
        <f t="shared" si="45"/>
        <v>249.7547536</v>
      </c>
      <c r="J298" s="199">
        <f t="shared" si="46"/>
        <v>249.7547536</v>
      </c>
      <c r="L298" s="9"/>
      <c r="N298" s="254"/>
    </row>
    <row r="299" spans="1:14" ht="12.75">
      <c r="A299" s="78" t="s">
        <v>572</v>
      </c>
      <c r="B299" s="192" t="s">
        <v>540</v>
      </c>
      <c r="C299" s="185" t="s">
        <v>471</v>
      </c>
      <c r="D299" s="197">
        <v>8</v>
      </c>
      <c r="E299" s="214">
        <v>0</v>
      </c>
      <c r="F299" s="201">
        <f>72.82*K1</f>
        <v>76.28834377999999</v>
      </c>
      <c r="G299" s="219">
        <f t="shared" si="48"/>
        <v>76.28834377999999</v>
      </c>
      <c r="H299" s="199">
        <f t="shared" si="44"/>
        <v>0</v>
      </c>
      <c r="I299" s="199">
        <f t="shared" si="45"/>
        <v>610.3067502399999</v>
      </c>
      <c r="J299" s="199">
        <f t="shared" si="46"/>
        <v>610.3067502399999</v>
      </c>
      <c r="L299" s="9"/>
      <c r="N299" s="254"/>
    </row>
    <row r="300" spans="1:14" ht="12.75">
      <c r="A300" s="78" t="s">
        <v>573</v>
      </c>
      <c r="B300" s="192" t="s">
        <v>541</v>
      </c>
      <c r="C300" s="185" t="s">
        <v>471</v>
      </c>
      <c r="D300" s="197">
        <v>14</v>
      </c>
      <c r="E300" s="214">
        <v>0</v>
      </c>
      <c r="F300" s="201">
        <f>15.52*K1</f>
        <v>16.259202079999998</v>
      </c>
      <c r="G300" s="219">
        <f t="shared" si="48"/>
        <v>16.259202079999998</v>
      </c>
      <c r="H300" s="199">
        <f t="shared" si="44"/>
        <v>0</v>
      </c>
      <c r="I300" s="199">
        <f t="shared" si="45"/>
        <v>227.62882911999998</v>
      </c>
      <c r="J300" s="199">
        <f t="shared" si="46"/>
        <v>227.62882911999998</v>
      </c>
      <c r="L300" s="9"/>
      <c r="N300" s="254"/>
    </row>
    <row r="301" spans="1:14" ht="25.5">
      <c r="A301" s="78" t="s">
        <v>574</v>
      </c>
      <c r="B301" s="192" t="s">
        <v>542</v>
      </c>
      <c r="C301" s="185" t="s">
        <v>471</v>
      </c>
      <c r="D301" s="197">
        <v>8</v>
      </c>
      <c r="E301" s="214">
        <v>0</v>
      </c>
      <c r="F301" s="201">
        <f>21.64*K1</f>
        <v>22.670691559999998</v>
      </c>
      <c r="G301" s="219">
        <f t="shared" si="48"/>
        <v>22.670691559999998</v>
      </c>
      <c r="H301" s="199">
        <f t="shared" si="44"/>
        <v>0</v>
      </c>
      <c r="I301" s="199">
        <f t="shared" si="45"/>
        <v>181.36553247999998</v>
      </c>
      <c r="J301" s="199">
        <f t="shared" si="46"/>
        <v>181.36553247999998</v>
      </c>
      <c r="L301" s="9"/>
      <c r="N301" s="254"/>
    </row>
    <row r="302" spans="1:14" ht="12.75">
      <c r="A302" s="78" t="s">
        <v>575</v>
      </c>
      <c r="B302" s="192" t="s">
        <v>543</v>
      </c>
      <c r="C302" s="185" t="s">
        <v>471</v>
      </c>
      <c r="D302" s="197">
        <v>5</v>
      </c>
      <c r="E302" s="214">
        <v>0</v>
      </c>
      <c r="F302" s="201">
        <f>742*K1</f>
        <v>777.3407179999999</v>
      </c>
      <c r="G302" s="219">
        <f t="shared" si="48"/>
        <v>777.3407179999999</v>
      </c>
      <c r="H302" s="199">
        <f t="shared" si="44"/>
        <v>0</v>
      </c>
      <c r="I302" s="199">
        <f t="shared" si="45"/>
        <v>3886.7035899999996</v>
      </c>
      <c r="J302" s="199">
        <f t="shared" si="46"/>
        <v>3886.7035899999996</v>
      </c>
      <c r="L302" s="9"/>
      <c r="N302" s="254"/>
    </row>
    <row r="303" spans="1:14" ht="12.75">
      <c r="A303" s="78" t="s">
        <v>576</v>
      </c>
      <c r="B303" s="192" t="s">
        <v>544</v>
      </c>
      <c r="C303" s="185" t="s">
        <v>471</v>
      </c>
      <c r="D303" s="197">
        <v>1</v>
      </c>
      <c r="E303" s="214">
        <v>0</v>
      </c>
      <c r="F303" s="201">
        <f>456.74*K1</f>
        <v>478.49406946</v>
      </c>
      <c r="G303" s="219">
        <f t="shared" si="48"/>
        <v>478.49406946</v>
      </c>
      <c r="H303" s="199">
        <f t="shared" si="44"/>
        <v>0</v>
      </c>
      <c r="I303" s="199">
        <f t="shared" si="45"/>
        <v>478.49406946</v>
      </c>
      <c r="J303" s="199">
        <f t="shared" si="46"/>
        <v>478.49406946</v>
      </c>
      <c r="L303" s="9"/>
      <c r="N303" s="254"/>
    </row>
    <row r="304" spans="1:14" ht="12.75" customHeight="1">
      <c r="A304" s="78" t="s">
        <v>577</v>
      </c>
      <c r="B304" s="192" t="s">
        <v>545</v>
      </c>
      <c r="C304" s="185" t="s">
        <v>471</v>
      </c>
      <c r="D304" s="197">
        <v>1</v>
      </c>
      <c r="E304" s="214">
        <v>0</v>
      </c>
      <c r="F304" s="201">
        <f>136.14*K1</f>
        <v>142.62421205999996</v>
      </c>
      <c r="G304" s="219">
        <f t="shared" si="48"/>
        <v>142.62421205999996</v>
      </c>
      <c r="H304" s="199">
        <f t="shared" si="44"/>
        <v>0</v>
      </c>
      <c r="I304" s="199">
        <f t="shared" si="45"/>
        <v>142.62421205999996</v>
      </c>
      <c r="J304" s="199">
        <f t="shared" si="46"/>
        <v>142.62421205999996</v>
      </c>
      <c r="L304" s="9"/>
      <c r="N304" s="254"/>
    </row>
    <row r="305" spans="1:14" ht="12.75">
      <c r="A305" s="78" t="s">
        <v>578</v>
      </c>
      <c r="B305" s="192" t="s">
        <v>546</v>
      </c>
      <c r="C305" s="185" t="s">
        <v>471</v>
      </c>
      <c r="D305" s="197">
        <v>1</v>
      </c>
      <c r="E305" s="214">
        <v>0</v>
      </c>
      <c r="F305" s="201">
        <f>456.74*K1</f>
        <v>478.49406946</v>
      </c>
      <c r="G305" s="219">
        <f t="shared" si="48"/>
        <v>478.49406946</v>
      </c>
      <c r="H305" s="199">
        <f t="shared" si="44"/>
        <v>0</v>
      </c>
      <c r="I305" s="199">
        <f t="shared" si="45"/>
        <v>478.49406946</v>
      </c>
      <c r="J305" s="199">
        <f t="shared" si="46"/>
        <v>478.49406946</v>
      </c>
      <c r="L305" s="9"/>
      <c r="N305" s="254"/>
    </row>
    <row r="306" spans="1:14" ht="25.5">
      <c r="A306" s="78" t="s">
        <v>579</v>
      </c>
      <c r="B306" s="192" t="s">
        <v>547</v>
      </c>
      <c r="C306" s="185" t="s">
        <v>49</v>
      </c>
      <c r="D306" s="197">
        <v>1</v>
      </c>
      <c r="E306" s="214">
        <v>0</v>
      </c>
      <c r="F306" s="201">
        <f>3200*K1</f>
        <v>3352.4127999999996</v>
      </c>
      <c r="G306" s="219">
        <f t="shared" si="48"/>
        <v>3352.4127999999996</v>
      </c>
      <c r="H306" s="199">
        <f t="shared" si="44"/>
        <v>0</v>
      </c>
      <c r="I306" s="199">
        <f t="shared" si="45"/>
        <v>3352.4127999999996</v>
      </c>
      <c r="J306" s="199">
        <f t="shared" si="46"/>
        <v>3352.4127999999996</v>
      </c>
      <c r="L306" s="9"/>
      <c r="N306" s="254"/>
    </row>
    <row r="307" spans="1:14" ht="25.5">
      <c r="A307" s="78" t="s">
        <v>580</v>
      </c>
      <c r="B307" s="192" t="s">
        <v>548</v>
      </c>
      <c r="C307" s="185" t="s">
        <v>49</v>
      </c>
      <c r="D307" s="197">
        <v>1</v>
      </c>
      <c r="E307" s="214">
        <v>0</v>
      </c>
      <c r="F307" s="201">
        <f>12500*K1</f>
        <v>13095.3625</v>
      </c>
      <c r="G307" s="219">
        <f t="shared" si="48"/>
        <v>13095.3625</v>
      </c>
      <c r="H307" s="199">
        <f t="shared" si="44"/>
        <v>0</v>
      </c>
      <c r="I307" s="199">
        <f t="shared" si="45"/>
        <v>13095.3625</v>
      </c>
      <c r="J307" s="199">
        <f t="shared" si="46"/>
        <v>13095.3625</v>
      </c>
      <c r="L307" s="9"/>
      <c r="N307" s="254"/>
    </row>
    <row r="308" spans="1:14" ht="12.75">
      <c r="A308" s="155" t="s">
        <v>582</v>
      </c>
      <c r="B308" s="153" t="s">
        <v>581</v>
      </c>
      <c r="C308" s="80"/>
      <c r="D308" s="199"/>
      <c r="E308" s="199"/>
      <c r="F308" s="199"/>
      <c r="G308" s="199"/>
      <c r="H308" s="199"/>
      <c r="I308" s="199"/>
      <c r="J308" s="199"/>
      <c r="L308" s="9"/>
      <c r="N308" s="254"/>
    </row>
    <row r="309" spans="1:14" ht="12.75">
      <c r="A309" s="78" t="s">
        <v>638</v>
      </c>
      <c r="B309" s="183" t="s">
        <v>583</v>
      </c>
      <c r="C309" s="185" t="s">
        <v>81</v>
      </c>
      <c r="D309" s="197">
        <v>125</v>
      </c>
      <c r="E309" s="214">
        <v>0</v>
      </c>
      <c r="F309" s="201">
        <f>10.52*K1</f>
        <v>11.021057079999999</v>
      </c>
      <c r="G309" s="219">
        <f>F309+E309</f>
        <v>11.021057079999999</v>
      </c>
      <c r="H309" s="199">
        <f t="shared" si="44"/>
        <v>0</v>
      </c>
      <c r="I309" s="199">
        <f t="shared" si="45"/>
        <v>1377.6321349999998</v>
      </c>
      <c r="J309" s="199">
        <f t="shared" si="46"/>
        <v>1377.6321349999998</v>
      </c>
      <c r="L309" s="9"/>
      <c r="N309" s="254"/>
    </row>
    <row r="310" spans="1:14" ht="12.75">
      <c r="A310" s="78" t="s">
        <v>639</v>
      </c>
      <c r="B310" s="183" t="s">
        <v>498</v>
      </c>
      <c r="C310" s="185" t="s">
        <v>81</v>
      </c>
      <c r="D310" s="197">
        <v>320</v>
      </c>
      <c r="E310" s="214">
        <v>0</v>
      </c>
      <c r="F310" s="201">
        <f>20.29*K1</f>
        <v>21.256392409999997</v>
      </c>
      <c r="G310" s="219">
        <f>F310+E310</f>
        <v>21.256392409999997</v>
      </c>
      <c r="H310" s="199">
        <f t="shared" si="44"/>
        <v>0</v>
      </c>
      <c r="I310" s="199">
        <f t="shared" si="45"/>
        <v>6802.045571199998</v>
      </c>
      <c r="J310" s="199">
        <f t="shared" si="46"/>
        <v>6802.045571199998</v>
      </c>
      <c r="L310" s="9"/>
      <c r="N310" s="254"/>
    </row>
    <row r="311" spans="1:14" ht="25.5">
      <c r="A311" s="78" t="s">
        <v>640</v>
      </c>
      <c r="B311" s="183" t="s">
        <v>499</v>
      </c>
      <c r="C311" s="185" t="s">
        <v>471</v>
      </c>
      <c r="D311" s="197">
        <v>7</v>
      </c>
      <c r="E311" s="214">
        <v>0</v>
      </c>
      <c r="F311" s="201">
        <f>537.9*K1</f>
        <v>563.5196391</v>
      </c>
      <c r="G311" s="219">
        <f aca="true" t="shared" si="49" ref="G311:G365">F311+E311</f>
        <v>563.5196391</v>
      </c>
      <c r="H311" s="199">
        <f t="shared" si="44"/>
        <v>0</v>
      </c>
      <c r="I311" s="199">
        <f t="shared" si="45"/>
        <v>3944.6374736999996</v>
      </c>
      <c r="J311" s="199">
        <f t="shared" si="46"/>
        <v>3944.6374736999996</v>
      </c>
      <c r="L311" s="9"/>
      <c r="N311" s="254"/>
    </row>
    <row r="312" spans="1:14" ht="12.75">
      <c r="A312" s="78" t="s">
        <v>641</v>
      </c>
      <c r="B312" s="183" t="s">
        <v>584</v>
      </c>
      <c r="C312" s="185" t="s">
        <v>405</v>
      </c>
      <c r="D312" s="197">
        <v>7</v>
      </c>
      <c r="E312" s="214">
        <v>0</v>
      </c>
      <c r="F312" s="201">
        <f>170.2*K1</f>
        <v>178.30645579999998</v>
      </c>
      <c r="G312" s="219">
        <f t="shared" si="49"/>
        <v>178.30645579999998</v>
      </c>
      <c r="H312" s="199">
        <f t="shared" si="44"/>
        <v>0</v>
      </c>
      <c r="I312" s="199">
        <f t="shared" si="45"/>
        <v>1248.1451905999998</v>
      </c>
      <c r="J312" s="199">
        <f t="shared" si="46"/>
        <v>1248.1451905999998</v>
      </c>
      <c r="L312" s="9"/>
      <c r="N312" s="254"/>
    </row>
    <row r="313" spans="1:14" ht="25.5">
      <c r="A313" s="78" t="s">
        <v>642</v>
      </c>
      <c r="B313" s="183" t="s">
        <v>585</v>
      </c>
      <c r="C313" s="185" t="s">
        <v>471</v>
      </c>
      <c r="D313" s="197">
        <v>1</v>
      </c>
      <c r="E313" s="214">
        <v>0</v>
      </c>
      <c r="F313" s="201">
        <f>28990*K1</f>
        <v>30370.76471</v>
      </c>
      <c r="G313" s="219">
        <f t="shared" si="49"/>
        <v>30370.76471</v>
      </c>
      <c r="H313" s="199">
        <f t="shared" si="44"/>
        <v>0</v>
      </c>
      <c r="I313" s="199">
        <f t="shared" si="45"/>
        <v>30370.76471</v>
      </c>
      <c r="J313" s="199">
        <f t="shared" si="46"/>
        <v>30370.76471</v>
      </c>
      <c r="L313" s="9"/>
      <c r="N313" s="254"/>
    </row>
    <row r="314" spans="1:14" ht="25.5">
      <c r="A314" s="78" t="s">
        <v>643</v>
      </c>
      <c r="B314" s="183" t="s">
        <v>586</v>
      </c>
      <c r="C314" s="185" t="s">
        <v>471</v>
      </c>
      <c r="D314" s="197">
        <v>1</v>
      </c>
      <c r="E314" s="214">
        <v>0</v>
      </c>
      <c r="F314" s="201">
        <f>43800*K1</f>
        <v>45886.1502</v>
      </c>
      <c r="G314" s="219">
        <f t="shared" si="49"/>
        <v>45886.1502</v>
      </c>
      <c r="H314" s="199">
        <f aca="true" t="shared" si="50" ref="H314:H321">D314*E314</f>
        <v>0</v>
      </c>
      <c r="I314" s="199">
        <f aca="true" t="shared" si="51" ref="I314:I321">D314*F314</f>
        <v>45886.1502</v>
      </c>
      <c r="J314" s="199">
        <f aca="true" t="shared" si="52" ref="J314:J321">I314+H314</f>
        <v>45886.1502</v>
      </c>
      <c r="L314" s="9"/>
      <c r="N314" s="254"/>
    </row>
    <row r="315" spans="1:14" ht="25.5">
      <c r="A315" s="78" t="s">
        <v>644</v>
      </c>
      <c r="B315" s="183" t="s">
        <v>587</v>
      </c>
      <c r="C315" s="185" t="s">
        <v>471</v>
      </c>
      <c r="D315" s="197">
        <v>1</v>
      </c>
      <c r="E315" s="214">
        <v>0</v>
      </c>
      <c r="F315" s="201">
        <f>32100*K1</f>
        <v>33628.8909</v>
      </c>
      <c r="G315" s="219">
        <f t="shared" si="49"/>
        <v>33628.8909</v>
      </c>
      <c r="H315" s="199">
        <f t="shared" si="50"/>
        <v>0</v>
      </c>
      <c r="I315" s="199">
        <f t="shared" si="51"/>
        <v>33628.8909</v>
      </c>
      <c r="J315" s="199">
        <f t="shared" si="52"/>
        <v>33628.8909</v>
      </c>
      <c r="L315" s="9"/>
      <c r="N315" s="254"/>
    </row>
    <row r="316" spans="1:14" ht="12.75">
      <c r="A316" s="78" t="s">
        <v>645</v>
      </c>
      <c r="B316" s="183" t="s">
        <v>588</v>
      </c>
      <c r="C316" s="185" t="s">
        <v>471</v>
      </c>
      <c r="D316" s="197">
        <v>1</v>
      </c>
      <c r="E316" s="214">
        <v>0</v>
      </c>
      <c r="F316" s="201">
        <f>2390*K1</f>
        <v>2503.83331</v>
      </c>
      <c r="G316" s="219">
        <f t="shared" si="49"/>
        <v>2503.83331</v>
      </c>
      <c r="H316" s="199">
        <f t="shared" si="50"/>
        <v>0</v>
      </c>
      <c r="I316" s="199">
        <f t="shared" si="51"/>
        <v>2503.83331</v>
      </c>
      <c r="J316" s="199">
        <f t="shared" si="52"/>
        <v>2503.83331</v>
      </c>
      <c r="L316" s="9"/>
      <c r="N316" s="254"/>
    </row>
    <row r="317" spans="1:14" ht="12.75">
      <c r="A317" s="78" t="s">
        <v>646</v>
      </c>
      <c r="B317" s="183" t="s">
        <v>589</v>
      </c>
      <c r="C317" s="185" t="s">
        <v>471</v>
      </c>
      <c r="D317" s="197">
        <v>1</v>
      </c>
      <c r="E317" s="214">
        <v>0</v>
      </c>
      <c r="F317" s="201">
        <f>4210*K1</f>
        <v>4410.51809</v>
      </c>
      <c r="G317" s="219">
        <f t="shared" si="49"/>
        <v>4410.51809</v>
      </c>
      <c r="H317" s="199">
        <f t="shared" si="50"/>
        <v>0</v>
      </c>
      <c r="I317" s="199">
        <f t="shared" si="51"/>
        <v>4410.51809</v>
      </c>
      <c r="J317" s="199">
        <f t="shared" si="52"/>
        <v>4410.51809</v>
      </c>
      <c r="L317" s="9"/>
      <c r="N317" s="254"/>
    </row>
    <row r="318" spans="1:14" ht="12.75">
      <c r="A318" s="78" t="s">
        <v>647</v>
      </c>
      <c r="B318" s="183" t="s">
        <v>590</v>
      </c>
      <c r="C318" s="185" t="s">
        <v>471</v>
      </c>
      <c r="D318" s="197">
        <v>1</v>
      </c>
      <c r="E318" s="214">
        <v>0</v>
      </c>
      <c r="F318" s="201">
        <f>4440*K1</f>
        <v>4651.47276</v>
      </c>
      <c r="G318" s="219">
        <f t="shared" si="49"/>
        <v>4651.47276</v>
      </c>
      <c r="H318" s="199">
        <f t="shared" si="50"/>
        <v>0</v>
      </c>
      <c r="I318" s="199">
        <f t="shared" si="51"/>
        <v>4651.47276</v>
      </c>
      <c r="J318" s="199">
        <f t="shared" si="52"/>
        <v>4651.47276</v>
      </c>
      <c r="L318" s="9"/>
      <c r="N318" s="254"/>
    </row>
    <row r="319" spans="1:14" ht="12.75">
      <c r="A319" s="78" t="s">
        <v>648</v>
      </c>
      <c r="B319" s="183" t="s">
        <v>591</v>
      </c>
      <c r="C319" s="185" t="s">
        <v>471</v>
      </c>
      <c r="D319" s="197">
        <v>1</v>
      </c>
      <c r="E319" s="214">
        <v>0</v>
      </c>
      <c r="F319" s="201">
        <f>6200*K1</f>
        <v>6495.2998</v>
      </c>
      <c r="G319" s="219">
        <f t="shared" si="49"/>
        <v>6495.2998</v>
      </c>
      <c r="H319" s="199">
        <f t="shared" si="50"/>
        <v>0</v>
      </c>
      <c r="I319" s="199">
        <f t="shared" si="51"/>
        <v>6495.2998</v>
      </c>
      <c r="J319" s="199">
        <f t="shared" si="52"/>
        <v>6495.2998</v>
      </c>
      <c r="L319" s="9"/>
      <c r="N319" s="254"/>
    </row>
    <row r="320" spans="1:14" ht="12.75" customHeight="1">
      <c r="A320" s="78" t="s">
        <v>649</v>
      </c>
      <c r="B320" s="183" t="s">
        <v>592</v>
      </c>
      <c r="C320" s="185" t="s">
        <v>471</v>
      </c>
      <c r="D320" s="197">
        <v>1</v>
      </c>
      <c r="E320" s="214">
        <v>0</v>
      </c>
      <c r="F320" s="201">
        <f>1560*K1</f>
        <v>1634.3012399999998</v>
      </c>
      <c r="G320" s="219">
        <f t="shared" si="49"/>
        <v>1634.3012399999998</v>
      </c>
      <c r="H320" s="199">
        <f t="shared" si="50"/>
        <v>0</v>
      </c>
      <c r="I320" s="199">
        <f t="shared" si="51"/>
        <v>1634.3012399999998</v>
      </c>
      <c r="J320" s="199">
        <f t="shared" si="52"/>
        <v>1634.3012399999998</v>
      </c>
      <c r="L320" s="9"/>
      <c r="N320" s="254"/>
    </row>
    <row r="321" spans="1:14" ht="25.5">
      <c r="A321" s="78" t="s">
        <v>650</v>
      </c>
      <c r="B321" s="183" t="s">
        <v>593</v>
      </c>
      <c r="C321" s="185" t="s">
        <v>471</v>
      </c>
      <c r="D321" s="197">
        <v>1</v>
      </c>
      <c r="E321" s="214">
        <v>0</v>
      </c>
      <c r="F321" s="201">
        <f>3180*K1</f>
        <v>3331.46022</v>
      </c>
      <c r="G321" s="219">
        <f t="shared" si="49"/>
        <v>3331.46022</v>
      </c>
      <c r="H321" s="199">
        <f t="shared" si="50"/>
        <v>0</v>
      </c>
      <c r="I321" s="199">
        <f t="shared" si="51"/>
        <v>3331.46022</v>
      </c>
      <c r="J321" s="199">
        <f t="shared" si="52"/>
        <v>3331.46022</v>
      </c>
      <c r="L321" s="9"/>
      <c r="N321" s="254"/>
    </row>
    <row r="322" spans="1:14" ht="25.5">
      <c r="A322" s="78" t="s">
        <v>651</v>
      </c>
      <c r="B322" s="183" t="s">
        <v>594</v>
      </c>
      <c r="C322" s="185" t="s">
        <v>471</v>
      </c>
      <c r="D322" s="197">
        <v>1</v>
      </c>
      <c r="E322" s="214">
        <v>0</v>
      </c>
      <c r="F322" s="201">
        <f>2880*K1</f>
        <v>3017.17152</v>
      </c>
      <c r="G322" s="219">
        <f t="shared" si="49"/>
        <v>3017.17152</v>
      </c>
      <c r="H322" s="199">
        <f aca="true" t="shared" si="53" ref="H322:H356">D322*E322</f>
        <v>0</v>
      </c>
      <c r="I322" s="199">
        <f aca="true" t="shared" si="54" ref="I322:I356">D322*F322</f>
        <v>3017.17152</v>
      </c>
      <c r="J322" s="199">
        <f aca="true" t="shared" si="55" ref="J322:J356">I322+H322</f>
        <v>3017.17152</v>
      </c>
      <c r="L322" s="9"/>
      <c r="N322" s="254"/>
    </row>
    <row r="323" spans="1:14" ht="25.5">
      <c r="A323" s="78" t="s">
        <v>652</v>
      </c>
      <c r="B323" s="183" t="s">
        <v>595</v>
      </c>
      <c r="C323" s="185" t="s">
        <v>471</v>
      </c>
      <c r="D323" s="197">
        <v>1</v>
      </c>
      <c r="E323" s="214">
        <v>0</v>
      </c>
      <c r="F323" s="201">
        <f>4440*K1</f>
        <v>4651.47276</v>
      </c>
      <c r="G323" s="219">
        <f t="shared" si="49"/>
        <v>4651.47276</v>
      </c>
      <c r="H323" s="199">
        <f t="shared" si="53"/>
        <v>0</v>
      </c>
      <c r="I323" s="199">
        <f t="shared" si="54"/>
        <v>4651.47276</v>
      </c>
      <c r="J323" s="199">
        <f t="shared" si="55"/>
        <v>4651.47276</v>
      </c>
      <c r="L323" s="9"/>
      <c r="N323" s="254"/>
    </row>
    <row r="324" spans="1:14" ht="25.5">
      <c r="A324" s="78" t="s">
        <v>653</v>
      </c>
      <c r="B324" s="183" t="s">
        <v>596</v>
      </c>
      <c r="C324" s="185" t="s">
        <v>471</v>
      </c>
      <c r="D324" s="197">
        <v>1</v>
      </c>
      <c r="E324" s="214">
        <v>0</v>
      </c>
      <c r="F324" s="201">
        <f>3180*K1</f>
        <v>3331.46022</v>
      </c>
      <c r="G324" s="219">
        <f t="shared" si="49"/>
        <v>3331.46022</v>
      </c>
      <c r="H324" s="199">
        <f t="shared" si="53"/>
        <v>0</v>
      </c>
      <c r="I324" s="199">
        <f t="shared" si="54"/>
        <v>3331.46022</v>
      </c>
      <c r="J324" s="199">
        <f t="shared" si="55"/>
        <v>3331.46022</v>
      </c>
      <c r="L324" s="9"/>
      <c r="N324" s="254"/>
    </row>
    <row r="325" spans="1:14" ht="25.5">
      <c r="A325" s="78" t="s">
        <v>654</v>
      </c>
      <c r="B325" s="183" t="s">
        <v>597</v>
      </c>
      <c r="C325" s="185" t="s">
        <v>471</v>
      </c>
      <c r="D325" s="197">
        <v>1</v>
      </c>
      <c r="E325" s="214">
        <v>0</v>
      </c>
      <c r="F325" s="201">
        <f>920*K1</f>
        <v>963.81868</v>
      </c>
      <c r="G325" s="219">
        <f t="shared" si="49"/>
        <v>963.81868</v>
      </c>
      <c r="H325" s="199">
        <f t="shared" si="53"/>
        <v>0</v>
      </c>
      <c r="I325" s="199">
        <f t="shared" si="54"/>
        <v>963.81868</v>
      </c>
      <c r="J325" s="199">
        <f t="shared" si="55"/>
        <v>963.81868</v>
      </c>
      <c r="L325" s="9"/>
      <c r="N325" s="254"/>
    </row>
    <row r="326" spans="1:14" ht="25.5">
      <c r="A326" s="78" t="s">
        <v>655</v>
      </c>
      <c r="B326" s="183" t="s">
        <v>598</v>
      </c>
      <c r="C326" s="185" t="s">
        <v>471</v>
      </c>
      <c r="D326" s="197">
        <v>1</v>
      </c>
      <c r="E326" s="214">
        <v>0</v>
      </c>
      <c r="F326" s="201">
        <f>920*K1</f>
        <v>963.81868</v>
      </c>
      <c r="G326" s="219">
        <f t="shared" si="49"/>
        <v>963.81868</v>
      </c>
      <c r="H326" s="199">
        <f t="shared" si="53"/>
        <v>0</v>
      </c>
      <c r="I326" s="199">
        <f t="shared" si="54"/>
        <v>963.81868</v>
      </c>
      <c r="J326" s="199">
        <f t="shared" si="55"/>
        <v>963.81868</v>
      </c>
      <c r="L326" s="9"/>
      <c r="N326" s="254"/>
    </row>
    <row r="327" spans="1:14" ht="25.5">
      <c r="A327" s="78" t="s">
        <v>656</v>
      </c>
      <c r="B327" s="183" t="s">
        <v>599</v>
      </c>
      <c r="C327" s="185" t="s">
        <v>471</v>
      </c>
      <c r="D327" s="197">
        <v>1</v>
      </c>
      <c r="E327" s="214">
        <v>0</v>
      </c>
      <c r="F327" s="201">
        <f>920*K1</f>
        <v>963.81868</v>
      </c>
      <c r="G327" s="219">
        <f t="shared" si="49"/>
        <v>963.81868</v>
      </c>
      <c r="H327" s="199">
        <f t="shared" si="53"/>
        <v>0</v>
      </c>
      <c r="I327" s="199">
        <f t="shared" si="54"/>
        <v>963.81868</v>
      </c>
      <c r="J327" s="199">
        <f t="shared" si="55"/>
        <v>963.81868</v>
      </c>
      <c r="L327" s="9"/>
      <c r="N327" s="254"/>
    </row>
    <row r="328" spans="1:14" ht="25.5">
      <c r="A328" s="78" t="s">
        <v>657</v>
      </c>
      <c r="B328" s="183" t="s">
        <v>600</v>
      </c>
      <c r="C328" s="185" t="s">
        <v>471</v>
      </c>
      <c r="D328" s="197">
        <v>1</v>
      </c>
      <c r="E328" s="214">
        <v>0</v>
      </c>
      <c r="F328" s="201">
        <f>920*K1</f>
        <v>963.81868</v>
      </c>
      <c r="G328" s="219">
        <f t="shared" si="49"/>
        <v>963.81868</v>
      </c>
      <c r="H328" s="199">
        <f t="shared" si="53"/>
        <v>0</v>
      </c>
      <c r="I328" s="199">
        <f t="shared" si="54"/>
        <v>963.81868</v>
      </c>
      <c r="J328" s="199">
        <f t="shared" si="55"/>
        <v>963.81868</v>
      </c>
      <c r="L328" s="9"/>
      <c r="N328" s="254"/>
    </row>
    <row r="329" spans="1:14" ht="25.5">
      <c r="A329" s="78" t="s">
        <v>658</v>
      </c>
      <c r="B329" s="183" t="s">
        <v>601</v>
      </c>
      <c r="C329" s="185" t="s">
        <v>471</v>
      </c>
      <c r="D329" s="197">
        <v>1</v>
      </c>
      <c r="E329" s="214">
        <v>0</v>
      </c>
      <c r="F329" s="201">
        <f>920*K1</f>
        <v>963.81868</v>
      </c>
      <c r="G329" s="219">
        <f t="shared" si="49"/>
        <v>963.81868</v>
      </c>
      <c r="H329" s="199">
        <f t="shared" si="53"/>
        <v>0</v>
      </c>
      <c r="I329" s="199">
        <f t="shared" si="54"/>
        <v>963.81868</v>
      </c>
      <c r="J329" s="199">
        <f t="shared" si="55"/>
        <v>963.81868</v>
      </c>
      <c r="L329" s="9"/>
      <c r="N329" s="254"/>
    </row>
    <row r="330" spans="1:14" ht="25.5">
      <c r="A330" s="78" t="s">
        <v>659</v>
      </c>
      <c r="B330" s="183" t="s">
        <v>602</v>
      </c>
      <c r="C330" s="185" t="s">
        <v>471</v>
      </c>
      <c r="D330" s="197">
        <v>1</v>
      </c>
      <c r="E330" s="214">
        <v>0</v>
      </c>
      <c r="F330" s="201">
        <f>920*K1</f>
        <v>963.81868</v>
      </c>
      <c r="G330" s="219">
        <f t="shared" si="49"/>
        <v>963.81868</v>
      </c>
      <c r="H330" s="199">
        <f t="shared" si="53"/>
        <v>0</v>
      </c>
      <c r="I330" s="199">
        <f t="shared" si="54"/>
        <v>963.81868</v>
      </c>
      <c r="J330" s="199">
        <f t="shared" si="55"/>
        <v>963.81868</v>
      </c>
      <c r="L330" s="9"/>
      <c r="N330" s="254"/>
    </row>
    <row r="331" spans="1:14" ht="25.5">
      <c r="A331" s="78" t="s">
        <v>660</v>
      </c>
      <c r="B331" s="183" t="s">
        <v>603</v>
      </c>
      <c r="C331" s="185" t="s">
        <v>471</v>
      </c>
      <c r="D331" s="197">
        <v>1</v>
      </c>
      <c r="E331" s="214">
        <v>0</v>
      </c>
      <c r="F331" s="201">
        <f>920*K1</f>
        <v>963.81868</v>
      </c>
      <c r="G331" s="219">
        <f t="shared" si="49"/>
        <v>963.81868</v>
      </c>
      <c r="H331" s="199">
        <f t="shared" si="53"/>
        <v>0</v>
      </c>
      <c r="I331" s="199">
        <f t="shared" si="54"/>
        <v>963.81868</v>
      </c>
      <c r="J331" s="199">
        <f t="shared" si="55"/>
        <v>963.81868</v>
      </c>
      <c r="L331" s="9"/>
      <c r="N331" s="254"/>
    </row>
    <row r="332" spans="1:14" ht="25.5">
      <c r="A332" s="78" t="s">
        <v>661</v>
      </c>
      <c r="B332" s="183" t="s">
        <v>604</v>
      </c>
      <c r="C332" s="185" t="s">
        <v>471</v>
      </c>
      <c r="D332" s="197">
        <v>1</v>
      </c>
      <c r="E332" s="214">
        <v>0</v>
      </c>
      <c r="F332" s="201">
        <f>920*K1</f>
        <v>963.81868</v>
      </c>
      <c r="G332" s="219">
        <f t="shared" si="49"/>
        <v>963.81868</v>
      </c>
      <c r="H332" s="199">
        <f t="shared" si="53"/>
        <v>0</v>
      </c>
      <c r="I332" s="199">
        <f t="shared" si="54"/>
        <v>963.81868</v>
      </c>
      <c r="J332" s="199">
        <f t="shared" si="55"/>
        <v>963.81868</v>
      </c>
      <c r="L332" s="9"/>
      <c r="N332" s="254"/>
    </row>
    <row r="333" spans="1:14" ht="25.5">
      <c r="A333" s="78" t="s">
        <v>662</v>
      </c>
      <c r="B333" s="183" t="s">
        <v>605</v>
      </c>
      <c r="C333" s="185" t="s">
        <v>471</v>
      </c>
      <c r="D333" s="197">
        <v>1</v>
      </c>
      <c r="E333" s="214">
        <v>0</v>
      </c>
      <c r="F333" s="201">
        <f>920*K1</f>
        <v>963.81868</v>
      </c>
      <c r="G333" s="219">
        <f t="shared" si="49"/>
        <v>963.81868</v>
      </c>
      <c r="H333" s="199">
        <f t="shared" si="53"/>
        <v>0</v>
      </c>
      <c r="I333" s="199">
        <f t="shared" si="54"/>
        <v>963.81868</v>
      </c>
      <c r="J333" s="199">
        <f t="shared" si="55"/>
        <v>963.81868</v>
      </c>
      <c r="L333" s="9"/>
      <c r="N333" s="254"/>
    </row>
    <row r="334" spans="1:14" ht="25.5">
      <c r="A334" s="78" t="s">
        <v>663</v>
      </c>
      <c r="B334" s="183" t="s">
        <v>606</v>
      </c>
      <c r="C334" s="185" t="s">
        <v>471</v>
      </c>
      <c r="D334" s="197">
        <v>1</v>
      </c>
      <c r="E334" s="214">
        <v>0</v>
      </c>
      <c r="F334" s="201">
        <f>920*K1</f>
        <v>963.81868</v>
      </c>
      <c r="G334" s="219">
        <f t="shared" si="49"/>
        <v>963.81868</v>
      </c>
      <c r="H334" s="199">
        <f t="shared" si="53"/>
        <v>0</v>
      </c>
      <c r="I334" s="199">
        <f t="shared" si="54"/>
        <v>963.81868</v>
      </c>
      <c r="J334" s="199">
        <f t="shared" si="55"/>
        <v>963.81868</v>
      </c>
      <c r="L334" s="9"/>
      <c r="N334" s="254"/>
    </row>
    <row r="335" spans="1:14" ht="25.5">
      <c r="A335" s="78" t="s">
        <v>664</v>
      </c>
      <c r="B335" s="183" t="s">
        <v>607</v>
      </c>
      <c r="C335" s="185" t="s">
        <v>471</v>
      </c>
      <c r="D335" s="197">
        <v>1</v>
      </c>
      <c r="E335" s="214">
        <v>0</v>
      </c>
      <c r="F335" s="201">
        <f>1200*K1</f>
        <v>1257.1547999999998</v>
      </c>
      <c r="G335" s="219">
        <f t="shared" si="49"/>
        <v>1257.1547999999998</v>
      </c>
      <c r="H335" s="199">
        <f t="shared" si="53"/>
        <v>0</v>
      </c>
      <c r="I335" s="199">
        <f t="shared" si="54"/>
        <v>1257.1547999999998</v>
      </c>
      <c r="J335" s="199">
        <f t="shared" si="55"/>
        <v>1257.1547999999998</v>
      </c>
      <c r="L335" s="9"/>
      <c r="N335" s="254"/>
    </row>
    <row r="336" spans="1:14" ht="25.5">
      <c r="A336" s="78" t="s">
        <v>665</v>
      </c>
      <c r="B336" s="183" t="s">
        <v>608</v>
      </c>
      <c r="C336" s="185" t="s">
        <v>471</v>
      </c>
      <c r="D336" s="197">
        <v>1</v>
      </c>
      <c r="E336" s="214">
        <v>0</v>
      </c>
      <c r="F336" s="201">
        <f>1860*K1</f>
        <v>1948.5899399999998</v>
      </c>
      <c r="G336" s="219">
        <f t="shared" si="49"/>
        <v>1948.5899399999998</v>
      </c>
      <c r="H336" s="199">
        <f t="shared" si="53"/>
        <v>0</v>
      </c>
      <c r="I336" s="199">
        <f t="shared" si="54"/>
        <v>1948.5899399999998</v>
      </c>
      <c r="J336" s="199">
        <f t="shared" si="55"/>
        <v>1948.5899399999998</v>
      </c>
      <c r="L336" s="9"/>
      <c r="N336" s="254"/>
    </row>
    <row r="337" spans="1:14" ht="25.5">
      <c r="A337" s="78" t="s">
        <v>666</v>
      </c>
      <c r="B337" s="183" t="s">
        <v>609</v>
      </c>
      <c r="C337" s="185" t="s">
        <v>471</v>
      </c>
      <c r="D337" s="197">
        <v>1</v>
      </c>
      <c r="E337" s="214">
        <v>0</v>
      </c>
      <c r="F337" s="201">
        <f>1930*K1</f>
        <v>2021.9239699999998</v>
      </c>
      <c r="G337" s="219">
        <f t="shared" si="49"/>
        <v>2021.9239699999998</v>
      </c>
      <c r="H337" s="199">
        <f t="shared" si="53"/>
        <v>0</v>
      </c>
      <c r="I337" s="199">
        <f t="shared" si="54"/>
        <v>2021.9239699999998</v>
      </c>
      <c r="J337" s="199">
        <f t="shared" si="55"/>
        <v>2021.9239699999998</v>
      </c>
      <c r="L337" s="9"/>
      <c r="N337" s="254"/>
    </row>
    <row r="338" spans="1:14" ht="25.5">
      <c r="A338" s="78" t="s">
        <v>667</v>
      </c>
      <c r="B338" s="183" t="s">
        <v>610</v>
      </c>
      <c r="C338" s="185" t="s">
        <v>471</v>
      </c>
      <c r="D338" s="197">
        <v>1</v>
      </c>
      <c r="E338" s="214">
        <v>0</v>
      </c>
      <c r="F338" s="201">
        <f>1200*K1</f>
        <v>1257.1547999999998</v>
      </c>
      <c r="G338" s="219">
        <f t="shared" si="49"/>
        <v>1257.1547999999998</v>
      </c>
      <c r="H338" s="199">
        <f t="shared" si="53"/>
        <v>0</v>
      </c>
      <c r="I338" s="199">
        <f t="shared" si="54"/>
        <v>1257.1547999999998</v>
      </c>
      <c r="J338" s="199">
        <f t="shared" si="55"/>
        <v>1257.1547999999998</v>
      </c>
      <c r="L338" s="9"/>
      <c r="N338" s="254"/>
    </row>
    <row r="339" spans="1:14" ht="25.5">
      <c r="A339" s="78" t="s">
        <v>668</v>
      </c>
      <c r="B339" s="183" t="s">
        <v>611</v>
      </c>
      <c r="C339" s="185" t="s">
        <v>471</v>
      </c>
      <c r="D339" s="197">
        <v>1</v>
      </c>
      <c r="E339" s="214">
        <v>0</v>
      </c>
      <c r="F339" s="201">
        <f>1200*K1</f>
        <v>1257.1547999999998</v>
      </c>
      <c r="G339" s="219">
        <f t="shared" si="49"/>
        <v>1257.1547999999998</v>
      </c>
      <c r="H339" s="199">
        <f t="shared" si="53"/>
        <v>0</v>
      </c>
      <c r="I339" s="199">
        <f t="shared" si="54"/>
        <v>1257.1547999999998</v>
      </c>
      <c r="J339" s="199">
        <f t="shared" si="55"/>
        <v>1257.1547999999998</v>
      </c>
      <c r="L339" s="9"/>
      <c r="N339" s="254"/>
    </row>
    <row r="340" spans="1:14" ht="25.5">
      <c r="A340" s="78" t="s">
        <v>669</v>
      </c>
      <c r="B340" s="183" t="s">
        <v>612</v>
      </c>
      <c r="C340" s="185" t="s">
        <v>471</v>
      </c>
      <c r="D340" s="197">
        <v>1</v>
      </c>
      <c r="E340" s="214">
        <v>0</v>
      </c>
      <c r="F340" s="201">
        <f>1200*K1</f>
        <v>1257.1547999999998</v>
      </c>
      <c r="G340" s="219">
        <f t="shared" si="49"/>
        <v>1257.1547999999998</v>
      </c>
      <c r="H340" s="199">
        <f t="shared" si="53"/>
        <v>0</v>
      </c>
      <c r="I340" s="199">
        <f t="shared" si="54"/>
        <v>1257.1547999999998</v>
      </c>
      <c r="J340" s="199">
        <f t="shared" si="55"/>
        <v>1257.1547999999998</v>
      </c>
      <c r="L340" s="9"/>
      <c r="N340" s="254"/>
    </row>
    <row r="341" spans="1:14" ht="25.5">
      <c r="A341" s="78" t="s">
        <v>670</v>
      </c>
      <c r="B341" s="183" t="s">
        <v>613</v>
      </c>
      <c r="C341" s="185" t="s">
        <v>471</v>
      </c>
      <c r="D341" s="197">
        <v>1</v>
      </c>
      <c r="E341" s="214">
        <v>0</v>
      </c>
      <c r="F341" s="201">
        <f>1440*K1</f>
        <v>1508.58576</v>
      </c>
      <c r="G341" s="219">
        <f t="shared" si="49"/>
        <v>1508.58576</v>
      </c>
      <c r="H341" s="199">
        <f t="shared" si="53"/>
        <v>0</v>
      </c>
      <c r="I341" s="199">
        <f t="shared" si="54"/>
        <v>1508.58576</v>
      </c>
      <c r="J341" s="199">
        <f t="shared" si="55"/>
        <v>1508.58576</v>
      </c>
      <c r="L341" s="9"/>
      <c r="N341" s="254"/>
    </row>
    <row r="342" spans="1:14" ht="25.5">
      <c r="A342" s="78" t="s">
        <v>671</v>
      </c>
      <c r="B342" s="183" t="s">
        <v>614</v>
      </c>
      <c r="C342" s="185" t="s">
        <v>471</v>
      </c>
      <c r="D342" s="197">
        <v>1</v>
      </c>
      <c r="E342" s="214">
        <v>0</v>
      </c>
      <c r="F342" s="201">
        <f>1200*K1</f>
        <v>1257.1547999999998</v>
      </c>
      <c r="G342" s="219">
        <f t="shared" si="49"/>
        <v>1257.1547999999998</v>
      </c>
      <c r="H342" s="199">
        <f t="shared" si="53"/>
        <v>0</v>
      </c>
      <c r="I342" s="199">
        <f t="shared" si="54"/>
        <v>1257.1547999999998</v>
      </c>
      <c r="J342" s="199">
        <f t="shared" si="55"/>
        <v>1257.1547999999998</v>
      </c>
      <c r="L342" s="9"/>
      <c r="N342" s="254"/>
    </row>
    <row r="343" spans="1:14" ht="25.5">
      <c r="A343" s="78" t="s">
        <v>672</v>
      </c>
      <c r="B343" s="183" t="s">
        <v>615</v>
      </c>
      <c r="C343" s="185" t="s">
        <v>471</v>
      </c>
      <c r="D343" s="197">
        <v>1</v>
      </c>
      <c r="E343" s="214">
        <v>0</v>
      </c>
      <c r="F343" s="201">
        <f>1200*K1</f>
        <v>1257.1547999999998</v>
      </c>
      <c r="G343" s="219">
        <f t="shared" si="49"/>
        <v>1257.1547999999998</v>
      </c>
      <c r="H343" s="199">
        <f t="shared" si="53"/>
        <v>0</v>
      </c>
      <c r="I343" s="199">
        <f t="shared" si="54"/>
        <v>1257.1547999999998</v>
      </c>
      <c r="J343" s="199">
        <f t="shared" si="55"/>
        <v>1257.1547999999998</v>
      </c>
      <c r="L343" s="9"/>
      <c r="N343" s="254"/>
    </row>
    <row r="344" spans="1:14" ht="25.5">
      <c r="A344" s="78" t="s">
        <v>673</v>
      </c>
      <c r="B344" s="183" t="s">
        <v>616</v>
      </c>
      <c r="C344" s="185" t="s">
        <v>471</v>
      </c>
      <c r="D344" s="197">
        <v>1</v>
      </c>
      <c r="E344" s="214">
        <v>0</v>
      </c>
      <c r="F344" s="201">
        <f>1200*K1</f>
        <v>1257.1547999999998</v>
      </c>
      <c r="G344" s="219">
        <f t="shared" si="49"/>
        <v>1257.1547999999998</v>
      </c>
      <c r="H344" s="199">
        <f t="shared" si="53"/>
        <v>0</v>
      </c>
      <c r="I344" s="199">
        <f t="shared" si="54"/>
        <v>1257.1547999999998</v>
      </c>
      <c r="J344" s="199">
        <f t="shared" si="55"/>
        <v>1257.1547999999998</v>
      </c>
      <c r="L344" s="9"/>
      <c r="N344" s="254"/>
    </row>
    <row r="345" spans="1:14" ht="25.5">
      <c r="A345" s="78" t="s">
        <v>674</v>
      </c>
      <c r="B345" s="183" t="s">
        <v>617</v>
      </c>
      <c r="C345" s="185" t="s">
        <v>471</v>
      </c>
      <c r="D345" s="197">
        <v>1</v>
      </c>
      <c r="E345" s="214">
        <v>0</v>
      </c>
      <c r="F345" s="201">
        <f>1200*K1</f>
        <v>1257.1547999999998</v>
      </c>
      <c r="G345" s="219">
        <f t="shared" si="49"/>
        <v>1257.1547999999998</v>
      </c>
      <c r="H345" s="199">
        <f t="shared" si="53"/>
        <v>0</v>
      </c>
      <c r="I345" s="199">
        <f t="shared" si="54"/>
        <v>1257.1547999999998</v>
      </c>
      <c r="J345" s="199">
        <f t="shared" si="55"/>
        <v>1257.1547999999998</v>
      </c>
      <c r="L345" s="9"/>
      <c r="N345" s="254"/>
    </row>
    <row r="346" spans="1:14" ht="25.5">
      <c r="A346" s="78" t="s">
        <v>675</v>
      </c>
      <c r="B346" s="183" t="s">
        <v>618</v>
      </c>
      <c r="C346" s="185" t="s">
        <v>471</v>
      </c>
      <c r="D346" s="197">
        <v>1</v>
      </c>
      <c r="E346" s="214">
        <v>0</v>
      </c>
      <c r="F346" s="201">
        <f>1200*K1</f>
        <v>1257.1547999999998</v>
      </c>
      <c r="G346" s="219">
        <f t="shared" si="49"/>
        <v>1257.1547999999998</v>
      </c>
      <c r="H346" s="199">
        <f t="shared" si="53"/>
        <v>0</v>
      </c>
      <c r="I346" s="199">
        <f t="shared" si="54"/>
        <v>1257.1547999999998</v>
      </c>
      <c r="J346" s="199">
        <f t="shared" si="55"/>
        <v>1257.1547999999998</v>
      </c>
      <c r="L346" s="9"/>
      <c r="N346" s="254"/>
    </row>
    <row r="347" spans="1:14" ht="25.5">
      <c r="A347" s="78" t="s">
        <v>676</v>
      </c>
      <c r="B347" s="183" t="s">
        <v>619</v>
      </c>
      <c r="C347" s="185" t="s">
        <v>471</v>
      </c>
      <c r="D347" s="197">
        <v>1</v>
      </c>
      <c r="E347" s="214">
        <v>0</v>
      </c>
      <c r="F347" s="201">
        <f>1200*K1</f>
        <v>1257.1547999999998</v>
      </c>
      <c r="G347" s="219">
        <f t="shared" si="49"/>
        <v>1257.1547999999998</v>
      </c>
      <c r="H347" s="199">
        <f t="shared" si="53"/>
        <v>0</v>
      </c>
      <c r="I347" s="199">
        <f t="shared" si="54"/>
        <v>1257.1547999999998</v>
      </c>
      <c r="J347" s="199">
        <f t="shared" si="55"/>
        <v>1257.1547999999998</v>
      </c>
      <c r="L347" s="9"/>
      <c r="N347" s="254"/>
    </row>
    <row r="348" spans="1:14" ht="25.5">
      <c r="A348" s="78" t="s">
        <v>677</v>
      </c>
      <c r="B348" s="183" t="s">
        <v>620</v>
      </c>
      <c r="C348" s="185" t="s">
        <v>471</v>
      </c>
      <c r="D348" s="197">
        <v>1</v>
      </c>
      <c r="E348" s="214">
        <v>0</v>
      </c>
      <c r="F348" s="201">
        <f>880*K1</f>
        <v>921.91352</v>
      </c>
      <c r="G348" s="219">
        <f t="shared" si="49"/>
        <v>921.91352</v>
      </c>
      <c r="H348" s="199">
        <f t="shared" si="53"/>
        <v>0</v>
      </c>
      <c r="I348" s="199">
        <f t="shared" si="54"/>
        <v>921.91352</v>
      </c>
      <c r="J348" s="199">
        <f t="shared" si="55"/>
        <v>921.91352</v>
      </c>
      <c r="L348" s="9"/>
      <c r="N348" s="254"/>
    </row>
    <row r="349" spans="1:14" ht="25.5">
      <c r="A349" s="78" t="s">
        <v>678</v>
      </c>
      <c r="B349" s="183" t="s">
        <v>621</v>
      </c>
      <c r="C349" s="185" t="s">
        <v>471</v>
      </c>
      <c r="D349" s="197">
        <v>1</v>
      </c>
      <c r="E349" s="214">
        <v>0</v>
      </c>
      <c r="F349" s="201">
        <f>1120*K1</f>
        <v>1173.34448</v>
      </c>
      <c r="G349" s="219">
        <f t="shared" si="49"/>
        <v>1173.34448</v>
      </c>
      <c r="H349" s="199">
        <f t="shared" si="53"/>
        <v>0</v>
      </c>
      <c r="I349" s="199">
        <f t="shared" si="54"/>
        <v>1173.34448</v>
      </c>
      <c r="J349" s="199">
        <f t="shared" si="55"/>
        <v>1173.34448</v>
      </c>
      <c r="L349" s="9"/>
      <c r="N349" s="254"/>
    </row>
    <row r="350" spans="1:14" ht="25.5">
      <c r="A350" s="78" t="s">
        <v>679</v>
      </c>
      <c r="B350" s="183" t="s">
        <v>622</v>
      </c>
      <c r="C350" s="185" t="s">
        <v>471</v>
      </c>
      <c r="D350" s="197">
        <v>1</v>
      </c>
      <c r="E350" s="214">
        <v>0</v>
      </c>
      <c r="F350" s="201">
        <f>860*K1</f>
        <v>900.9609399999999</v>
      </c>
      <c r="G350" s="219">
        <f t="shared" si="49"/>
        <v>900.9609399999999</v>
      </c>
      <c r="H350" s="199">
        <f t="shared" si="53"/>
        <v>0</v>
      </c>
      <c r="I350" s="199">
        <f t="shared" si="54"/>
        <v>900.9609399999999</v>
      </c>
      <c r="J350" s="199">
        <f t="shared" si="55"/>
        <v>900.9609399999999</v>
      </c>
      <c r="L350" s="9"/>
      <c r="N350" s="254"/>
    </row>
    <row r="351" spans="1:14" ht="25.5">
      <c r="A351" s="78" t="s">
        <v>680</v>
      </c>
      <c r="B351" s="183" t="s">
        <v>623</v>
      </c>
      <c r="C351" s="185" t="s">
        <v>471</v>
      </c>
      <c r="D351" s="197">
        <v>1</v>
      </c>
      <c r="E351" s="214">
        <v>0</v>
      </c>
      <c r="F351" s="201">
        <f>1420*K1</f>
        <v>1487.6331799999998</v>
      </c>
      <c r="G351" s="219">
        <f t="shared" si="49"/>
        <v>1487.6331799999998</v>
      </c>
      <c r="H351" s="199">
        <f t="shared" si="53"/>
        <v>0</v>
      </c>
      <c r="I351" s="199">
        <f t="shared" si="54"/>
        <v>1487.6331799999998</v>
      </c>
      <c r="J351" s="199">
        <f t="shared" si="55"/>
        <v>1487.6331799999998</v>
      </c>
      <c r="L351" s="9"/>
      <c r="N351" s="254"/>
    </row>
    <row r="352" spans="1:14" ht="25.5">
      <c r="A352" s="78" t="s">
        <v>681</v>
      </c>
      <c r="B352" s="183" t="s">
        <v>624</v>
      </c>
      <c r="C352" s="185" t="s">
        <v>471</v>
      </c>
      <c r="D352" s="197">
        <v>1</v>
      </c>
      <c r="E352" s="214">
        <v>0</v>
      </c>
      <c r="F352" s="201">
        <f>1800*K1</f>
        <v>1885.7322</v>
      </c>
      <c r="G352" s="219">
        <f t="shared" si="49"/>
        <v>1885.7322</v>
      </c>
      <c r="H352" s="199">
        <f t="shared" si="53"/>
        <v>0</v>
      </c>
      <c r="I352" s="199">
        <f t="shared" si="54"/>
        <v>1885.7322</v>
      </c>
      <c r="J352" s="199">
        <f t="shared" si="55"/>
        <v>1885.7322</v>
      </c>
      <c r="L352" s="9"/>
      <c r="N352" s="254"/>
    </row>
    <row r="353" spans="1:14" ht="25.5">
      <c r="A353" s="78" t="s">
        <v>682</v>
      </c>
      <c r="B353" s="183" t="s">
        <v>625</v>
      </c>
      <c r="C353" s="185" t="s">
        <v>471</v>
      </c>
      <c r="D353" s="197">
        <v>1</v>
      </c>
      <c r="E353" s="214">
        <v>0</v>
      </c>
      <c r="F353" s="201">
        <f>2200*K1</f>
        <v>2304.7837999999997</v>
      </c>
      <c r="G353" s="219">
        <f t="shared" si="49"/>
        <v>2304.7837999999997</v>
      </c>
      <c r="H353" s="199">
        <f t="shared" si="53"/>
        <v>0</v>
      </c>
      <c r="I353" s="199">
        <f t="shared" si="54"/>
        <v>2304.7837999999997</v>
      </c>
      <c r="J353" s="199">
        <f t="shared" si="55"/>
        <v>2304.7837999999997</v>
      </c>
      <c r="L353" s="9"/>
      <c r="N353" s="254"/>
    </row>
    <row r="354" spans="1:14" ht="25.5">
      <c r="A354" s="78" t="s">
        <v>683</v>
      </c>
      <c r="B354" s="183" t="s">
        <v>626</v>
      </c>
      <c r="C354" s="185" t="s">
        <v>471</v>
      </c>
      <c r="D354" s="197">
        <v>1</v>
      </c>
      <c r="E354" s="214">
        <v>0</v>
      </c>
      <c r="F354" s="201">
        <f>1640*K1</f>
        <v>1718.1115599999998</v>
      </c>
      <c r="G354" s="219">
        <f t="shared" si="49"/>
        <v>1718.1115599999998</v>
      </c>
      <c r="H354" s="199">
        <f t="shared" si="53"/>
        <v>0</v>
      </c>
      <c r="I354" s="199">
        <f t="shared" si="54"/>
        <v>1718.1115599999998</v>
      </c>
      <c r="J354" s="199">
        <f t="shared" si="55"/>
        <v>1718.1115599999998</v>
      </c>
      <c r="L354" s="9"/>
      <c r="N354" s="254"/>
    </row>
    <row r="355" spans="1:14" ht="12.75">
      <c r="A355" s="78" t="s">
        <v>684</v>
      </c>
      <c r="B355" s="183" t="s">
        <v>627</v>
      </c>
      <c r="C355" s="185" t="s">
        <v>81</v>
      </c>
      <c r="D355" s="197">
        <v>160</v>
      </c>
      <c r="E355" s="214">
        <v>0</v>
      </c>
      <c r="F355" s="201">
        <f>42*K1</f>
        <v>44.000417999999996</v>
      </c>
      <c r="G355" s="219">
        <f t="shared" si="49"/>
        <v>44.000417999999996</v>
      </c>
      <c r="H355" s="199">
        <f t="shared" si="53"/>
        <v>0</v>
      </c>
      <c r="I355" s="199">
        <f t="shared" si="54"/>
        <v>7040.066879999999</v>
      </c>
      <c r="J355" s="199">
        <f t="shared" si="55"/>
        <v>7040.066879999999</v>
      </c>
      <c r="L355" s="9"/>
      <c r="N355" s="254"/>
    </row>
    <row r="356" spans="1:14" ht="12.75">
      <c r="A356" s="78" t="s">
        <v>685</v>
      </c>
      <c r="B356" s="183" t="s">
        <v>628</v>
      </c>
      <c r="C356" s="185" t="s">
        <v>81</v>
      </c>
      <c r="D356" s="197">
        <v>1200</v>
      </c>
      <c r="E356" s="214">
        <v>0</v>
      </c>
      <c r="F356" s="201">
        <f>83.78*K1</f>
        <v>87.77035762</v>
      </c>
      <c r="G356" s="219">
        <f t="shared" si="49"/>
        <v>87.77035762</v>
      </c>
      <c r="H356" s="199">
        <f t="shared" si="53"/>
        <v>0</v>
      </c>
      <c r="I356" s="199">
        <f t="shared" si="54"/>
        <v>105324.429144</v>
      </c>
      <c r="J356" s="199">
        <f t="shared" si="55"/>
        <v>105324.429144</v>
      </c>
      <c r="L356" s="9"/>
      <c r="N356" s="254"/>
    </row>
    <row r="357" spans="1:14" ht="12.75">
      <c r="A357" s="78" t="s">
        <v>686</v>
      </c>
      <c r="B357" s="183" t="s">
        <v>629</v>
      </c>
      <c r="C357" s="185" t="s">
        <v>81</v>
      </c>
      <c r="D357" s="197">
        <v>560</v>
      </c>
      <c r="E357" s="214">
        <v>0</v>
      </c>
      <c r="F357" s="201">
        <f>70.26*K1</f>
        <v>73.60641354</v>
      </c>
      <c r="G357" s="219">
        <f t="shared" si="49"/>
        <v>73.60641354</v>
      </c>
      <c r="H357" s="199">
        <f aca="true" t="shared" si="56" ref="H357:H365">D357*E357</f>
        <v>0</v>
      </c>
      <c r="I357" s="199">
        <f aca="true" t="shared" si="57" ref="I357:I365">D357*F357</f>
        <v>41219.591582400004</v>
      </c>
      <c r="J357" s="199">
        <f aca="true" t="shared" si="58" ref="J357:J365">I357+H357</f>
        <v>41219.591582400004</v>
      </c>
      <c r="L357" s="9"/>
      <c r="N357" s="254"/>
    </row>
    <row r="358" spans="1:14" ht="12.75">
      <c r="A358" s="78" t="s">
        <v>687</v>
      </c>
      <c r="B358" s="183" t="s">
        <v>630</v>
      </c>
      <c r="C358" s="185" t="s">
        <v>81</v>
      </c>
      <c r="D358" s="197">
        <v>1280</v>
      </c>
      <c r="E358" s="214">
        <v>0</v>
      </c>
      <c r="F358" s="201">
        <f>56.32*K1</f>
        <v>59.002465279999996</v>
      </c>
      <c r="G358" s="219">
        <f t="shared" si="49"/>
        <v>59.002465279999996</v>
      </c>
      <c r="H358" s="199">
        <f t="shared" si="56"/>
        <v>0</v>
      </c>
      <c r="I358" s="199">
        <f t="shared" si="57"/>
        <v>75523.1555584</v>
      </c>
      <c r="J358" s="199">
        <f t="shared" si="58"/>
        <v>75523.1555584</v>
      </c>
      <c r="L358" s="9"/>
      <c r="N358" s="254"/>
    </row>
    <row r="359" spans="1:14" ht="12.75">
      <c r="A359" s="78" t="s">
        <v>688</v>
      </c>
      <c r="B359" s="183" t="s">
        <v>631</v>
      </c>
      <c r="C359" s="185" t="s">
        <v>81</v>
      </c>
      <c r="D359" s="197">
        <v>60</v>
      </c>
      <c r="E359" s="214">
        <v>0</v>
      </c>
      <c r="F359" s="201">
        <f>42.56*K1</f>
        <v>44.58709024</v>
      </c>
      <c r="G359" s="219">
        <f t="shared" si="49"/>
        <v>44.58709024</v>
      </c>
      <c r="H359" s="199">
        <f t="shared" si="56"/>
        <v>0</v>
      </c>
      <c r="I359" s="199">
        <f t="shared" si="57"/>
        <v>2675.2254144000003</v>
      </c>
      <c r="J359" s="199">
        <f t="shared" si="58"/>
        <v>2675.2254144000003</v>
      </c>
      <c r="L359" s="9"/>
      <c r="N359" s="254"/>
    </row>
    <row r="360" spans="1:14" ht="12.75">
      <c r="A360" s="78" t="s">
        <v>689</v>
      </c>
      <c r="B360" s="183" t="s">
        <v>632</v>
      </c>
      <c r="C360" s="185" t="s">
        <v>81</v>
      </c>
      <c r="D360" s="197">
        <v>980</v>
      </c>
      <c r="E360" s="214">
        <v>0</v>
      </c>
      <c r="F360" s="201">
        <f>32.94*K1</f>
        <v>34.50889925999999</v>
      </c>
      <c r="G360" s="219">
        <f t="shared" si="49"/>
        <v>34.50889925999999</v>
      </c>
      <c r="H360" s="199">
        <f t="shared" si="56"/>
        <v>0</v>
      </c>
      <c r="I360" s="199">
        <f t="shared" si="57"/>
        <v>33818.721274799995</v>
      </c>
      <c r="J360" s="199">
        <f t="shared" si="58"/>
        <v>33818.721274799995</v>
      </c>
      <c r="L360" s="9"/>
      <c r="N360" s="254"/>
    </row>
    <row r="361" spans="1:14" ht="12.75">
      <c r="A361" s="78" t="s">
        <v>690</v>
      </c>
      <c r="B361" s="183" t="s">
        <v>633</v>
      </c>
      <c r="C361" s="185" t="s">
        <v>81</v>
      </c>
      <c r="D361" s="197">
        <v>920</v>
      </c>
      <c r="E361" s="214">
        <v>0</v>
      </c>
      <c r="F361" s="201">
        <f>24.13*K1</f>
        <v>25.279287769999996</v>
      </c>
      <c r="G361" s="219">
        <f t="shared" si="49"/>
        <v>25.279287769999996</v>
      </c>
      <c r="H361" s="199">
        <f t="shared" si="56"/>
        <v>0</v>
      </c>
      <c r="I361" s="199">
        <f t="shared" si="57"/>
        <v>23256.944748399997</v>
      </c>
      <c r="J361" s="199">
        <f t="shared" si="58"/>
        <v>23256.944748399997</v>
      </c>
      <c r="L361" s="9"/>
      <c r="N361" s="254"/>
    </row>
    <row r="362" spans="1:14" ht="12.75">
      <c r="A362" s="78" t="s">
        <v>691</v>
      </c>
      <c r="B362" s="183" t="s">
        <v>634</v>
      </c>
      <c r="C362" s="185" t="s">
        <v>81</v>
      </c>
      <c r="D362" s="197">
        <v>1320</v>
      </c>
      <c r="E362" s="214">
        <v>0</v>
      </c>
      <c r="F362" s="201">
        <f>16.92*K1</f>
        <v>17.72588268</v>
      </c>
      <c r="G362" s="219">
        <f t="shared" si="49"/>
        <v>17.72588268</v>
      </c>
      <c r="H362" s="199">
        <f t="shared" si="56"/>
        <v>0</v>
      </c>
      <c r="I362" s="199">
        <f t="shared" si="57"/>
        <v>23398.1651376</v>
      </c>
      <c r="J362" s="199">
        <f t="shared" si="58"/>
        <v>23398.1651376</v>
      </c>
      <c r="L362" s="9"/>
      <c r="N362" s="254"/>
    </row>
    <row r="363" spans="1:14" ht="12.75">
      <c r="A363" s="78" t="s">
        <v>692</v>
      </c>
      <c r="B363" s="183" t="s">
        <v>635</v>
      </c>
      <c r="C363" s="185" t="s">
        <v>81</v>
      </c>
      <c r="D363" s="197">
        <v>30</v>
      </c>
      <c r="E363" s="214">
        <v>0</v>
      </c>
      <c r="F363" s="201">
        <f>12.02*K1</f>
        <v>12.59250058</v>
      </c>
      <c r="G363" s="219">
        <f t="shared" si="49"/>
        <v>12.59250058</v>
      </c>
      <c r="H363" s="199">
        <f t="shared" si="56"/>
        <v>0</v>
      </c>
      <c r="I363" s="199">
        <f t="shared" si="57"/>
        <v>377.77501739999997</v>
      </c>
      <c r="J363" s="199">
        <f t="shared" si="58"/>
        <v>377.77501739999997</v>
      </c>
      <c r="L363" s="9"/>
      <c r="N363" s="254"/>
    </row>
    <row r="364" spans="1:14" ht="12.75">
      <c r="A364" s="78" t="s">
        <v>693</v>
      </c>
      <c r="B364" s="183" t="s">
        <v>636</v>
      </c>
      <c r="C364" s="185" t="s">
        <v>81</v>
      </c>
      <c r="D364" s="197">
        <v>1100</v>
      </c>
      <c r="E364" s="214">
        <v>0</v>
      </c>
      <c r="F364" s="201">
        <f>8.68*K1</f>
        <v>9.093419719999998</v>
      </c>
      <c r="G364" s="219">
        <f t="shared" si="49"/>
        <v>9.093419719999998</v>
      </c>
      <c r="H364" s="199">
        <f t="shared" si="56"/>
        <v>0</v>
      </c>
      <c r="I364" s="199">
        <f t="shared" si="57"/>
        <v>10002.761691999998</v>
      </c>
      <c r="J364" s="199">
        <f t="shared" si="58"/>
        <v>10002.761691999998</v>
      </c>
      <c r="L364" s="9"/>
      <c r="N364" s="254"/>
    </row>
    <row r="365" spans="1:14" ht="12.75">
      <c r="A365" s="78" t="s">
        <v>694</v>
      </c>
      <c r="B365" s="183" t="s">
        <v>637</v>
      </c>
      <c r="C365" s="185" t="s">
        <v>81</v>
      </c>
      <c r="D365" s="197">
        <v>4600</v>
      </c>
      <c r="E365" s="214">
        <v>0</v>
      </c>
      <c r="F365" s="201">
        <f>6.18*K1</f>
        <v>6.474347219999999</v>
      </c>
      <c r="G365" s="219">
        <f t="shared" si="49"/>
        <v>6.474347219999999</v>
      </c>
      <c r="H365" s="199">
        <f t="shared" si="56"/>
        <v>0</v>
      </c>
      <c r="I365" s="199">
        <f t="shared" si="57"/>
        <v>29781.997212</v>
      </c>
      <c r="J365" s="199">
        <f t="shared" si="58"/>
        <v>29781.997212</v>
      </c>
      <c r="L365" s="9"/>
      <c r="N365" s="254"/>
    </row>
    <row r="366" spans="1:14" ht="12.75">
      <c r="A366" s="155" t="s">
        <v>696</v>
      </c>
      <c r="B366" s="153" t="s">
        <v>695</v>
      </c>
      <c r="C366" s="80"/>
      <c r="D366" s="199"/>
      <c r="E366" s="199"/>
      <c r="F366" s="199"/>
      <c r="G366" s="199"/>
      <c r="H366" s="199"/>
      <c r="I366" s="199"/>
      <c r="J366" s="199"/>
      <c r="L366" s="9"/>
      <c r="N366" s="254"/>
    </row>
    <row r="367" spans="1:14" ht="38.25">
      <c r="A367" s="78" t="s">
        <v>713</v>
      </c>
      <c r="B367" s="183" t="s">
        <v>697</v>
      </c>
      <c r="C367" s="185" t="s">
        <v>471</v>
      </c>
      <c r="D367" s="197">
        <v>760</v>
      </c>
      <c r="E367" s="214">
        <v>0</v>
      </c>
      <c r="F367" s="219">
        <f>172.3*K1</f>
        <v>180.5064767</v>
      </c>
      <c r="G367" s="219">
        <f>F367+E367</f>
        <v>180.5064767</v>
      </c>
      <c r="H367" s="199">
        <f>D367*E367</f>
        <v>0</v>
      </c>
      <c r="I367" s="199">
        <f>D367*F367</f>
        <v>137184.922292</v>
      </c>
      <c r="J367" s="199">
        <f>I367+H367</f>
        <v>137184.922292</v>
      </c>
      <c r="L367" s="9"/>
      <c r="N367" s="254"/>
    </row>
    <row r="368" spans="1:14" ht="25.5">
      <c r="A368" s="78" t="s">
        <v>714</v>
      </c>
      <c r="B368" s="183" t="s">
        <v>698</v>
      </c>
      <c r="C368" s="185" t="s">
        <v>471</v>
      </c>
      <c r="D368" s="197">
        <v>20</v>
      </c>
      <c r="E368" s="214">
        <v>0</v>
      </c>
      <c r="F368" s="219">
        <f>65.08*K1</f>
        <v>68.17969532</v>
      </c>
      <c r="G368" s="219">
        <f aca="true" t="shared" si="59" ref="G368:G381">F368+E368</f>
        <v>68.17969532</v>
      </c>
      <c r="H368" s="199">
        <f>D368*E368</f>
        <v>0</v>
      </c>
      <c r="I368" s="199">
        <f>D368*F368</f>
        <v>1363.5939064</v>
      </c>
      <c r="J368" s="199">
        <f>I368+H368</f>
        <v>1363.5939064</v>
      </c>
      <c r="L368" s="9"/>
      <c r="N368" s="254"/>
    </row>
    <row r="369" spans="1:14" ht="38.25">
      <c r="A369" s="78" t="s">
        <v>715</v>
      </c>
      <c r="B369" s="183" t="s">
        <v>699</v>
      </c>
      <c r="C369" s="185" t="s">
        <v>471</v>
      </c>
      <c r="D369" s="197">
        <v>5</v>
      </c>
      <c r="E369" s="214">
        <v>0</v>
      </c>
      <c r="F369" s="219">
        <f>68.92*K1</f>
        <v>72.20259068</v>
      </c>
      <c r="G369" s="219">
        <f t="shared" si="59"/>
        <v>72.20259068</v>
      </c>
      <c r="H369" s="199">
        <f>D369*E369</f>
        <v>0</v>
      </c>
      <c r="I369" s="199">
        <f>D369*F369</f>
        <v>361.0129534</v>
      </c>
      <c r="J369" s="199">
        <f>I369+H369</f>
        <v>361.0129534</v>
      </c>
      <c r="L369" s="9"/>
      <c r="N369" s="254"/>
    </row>
    <row r="370" spans="1:14" ht="25.5">
      <c r="A370" s="78" t="s">
        <v>716</v>
      </c>
      <c r="B370" s="183" t="s">
        <v>700</v>
      </c>
      <c r="C370" s="185" t="s">
        <v>471</v>
      </c>
      <c r="D370" s="197">
        <v>3040</v>
      </c>
      <c r="E370" s="214">
        <v>0</v>
      </c>
      <c r="F370" s="219">
        <f>8.7*K1</f>
        <v>9.1143723</v>
      </c>
      <c r="G370" s="219">
        <f t="shared" si="59"/>
        <v>9.1143723</v>
      </c>
      <c r="H370" s="199">
        <f>D370*E370</f>
        <v>0</v>
      </c>
      <c r="I370" s="199">
        <f>D370*F370</f>
        <v>27707.691791999998</v>
      </c>
      <c r="J370" s="199">
        <f>I370+H370</f>
        <v>27707.691791999998</v>
      </c>
      <c r="L370" s="9"/>
      <c r="N370" s="254"/>
    </row>
    <row r="371" spans="1:14" ht="25.5">
      <c r="A371" s="78" t="s">
        <v>717</v>
      </c>
      <c r="B371" s="183" t="s">
        <v>701</v>
      </c>
      <c r="C371" s="185" t="s">
        <v>471</v>
      </c>
      <c r="D371" s="197">
        <v>40</v>
      </c>
      <c r="E371" s="214">
        <v>0</v>
      </c>
      <c r="F371" s="219">
        <f>11.05*K1</f>
        <v>11.57630045</v>
      </c>
      <c r="G371" s="219">
        <f t="shared" si="59"/>
        <v>11.57630045</v>
      </c>
      <c r="H371" s="199">
        <f>D371*E371</f>
        <v>0</v>
      </c>
      <c r="I371" s="199">
        <f>D371*F371</f>
        <v>463.052018</v>
      </c>
      <c r="J371" s="199">
        <f>I371+H371</f>
        <v>463.052018</v>
      </c>
      <c r="L371" s="9"/>
      <c r="N371" s="254"/>
    </row>
    <row r="372" spans="1:14" ht="25.5">
      <c r="A372" s="78" t="s">
        <v>718</v>
      </c>
      <c r="B372" s="183" t="s">
        <v>702</v>
      </c>
      <c r="C372" s="185" t="s">
        <v>471</v>
      </c>
      <c r="D372" s="197">
        <v>380</v>
      </c>
      <c r="E372" s="214">
        <v>0</v>
      </c>
      <c r="F372" s="219">
        <f>56.3*K1</f>
        <v>58.981512699999996</v>
      </c>
      <c r="G372" s="219">
        <f t="shared" si="59"/>
        <v>58.981512699999996</v>
      </c>
      <c r="H372" s="199">
        <f aca="true" t="shared" si="60" ref="H372:H435">D372*E372</f>
        <v>0</v>
      </c>
      <c r="I372" s="199">
        <f aca="true" t="shared" si="61" ref="I372:I435">D372*F372</f>
        <v>22412.974825999998</v>
      </c>
      <c r="J372" s="199">
        <f aca="true" t="shared" si="62" ref="J372:J435">I372+H372</f>
        <v>22412.974825999998</v>
      </c>
      <c r="L372" s="9"/>
      <c r="N372" s="254"/>
    </row>
    <row r="373" spans="1:14" ht="25.5">
      <c r="A373" s="78" t="s">
        <v>719</v>
      </c>
      <c r="B373" s="183" t="s">
        <v>703</v>
      </c>
      <c r="C373" s="185" t="s">
        <v>471</v>
      </c>
      <c r="D373" s="197">
        <v>59</v>
      </c>
      <c r="E373" s="214">
        <v>0</v>
      </c>
      <c r="F373" s="219">
        <f>152.36*K1</f>
        <v>159.61675444</v>
      </c>
      <c r="G373" s="219">
        <f t="shared" si="59"/>
        <v>159.61675444</v>
      </c>
      <c r="H373" s="199">
        <f t="shared" si="60"/>
        <v>0</v>
      </c>
      <c r="I373" s="199">
        <f t="shared" si="61"/>
        <v>9417.38851196</v>
      </c>
      <c r="J373" s="199">
        <f t="shared" si="62"/>
        <v>9417.38851196</v>
      </c>
      <c r="L373" s="9"/>
      <c r="N373" s="254"/>
    </row>
    <row r="374" spans="1:14" ht="38.25">
      <c r="A374" s="78" t="s">
        <v>720</v>
      </c>
      <c r="B374" s="183" t="s">
        <v>704</v>
      </c>
      <c r="C374" s="185" t="s">
        <v>471</v>
      </c>
      <c r="D374" s="197">
        <v>71</v>
      </c>
      <c r="E374" s="214">
        <v>0</v>
      </c>
      <c r="F374" s="219">
        <f>12.74*K1</f>
        <v>13.346793459999999</v>
      </c>
      <c r="G374" s="219">
        <f t="shared" si="59"/>
        <v>13.346793459999999</v>
      </c>
      <c r="H374" s="199">
        <f t="shared" si="60"/>
        <v>0</v>
      </c>
      <c r="I374" s="199">
        <f t="shared" si="61"/>
        <v>947.62233566</v>
      </c>
      <c r="J374" s="199">
        <f t="shared" si="62"/>
        <v>947.62233566</v>
      </c>
      <c r="L374" s="9"/>
      <c r="N374" s="254"/>
    </row>
    <row r="375" spans="1:14" ht="12.75">
      <c r="A375" s="78" t="s">
        <v>721</v>
      </c>
      <c r="B375" s="183" t="s">
        <v>705</v>
      </c>
      <c r="C375" s="185" t="s">
        <v>471</v>
      </c>
      <c r="D375" s="197">
        <v>71</v>
      </c>
      <c r="E375" s="214">
        <v>0</v>
      </c>
      <c r="F375" s="219">
        <f>24.22*K1</f>
        <v>25.373574379999997</v>
      </c>
      <c r="G375" s="219">
        <f t="shared" si="59"/>
        <v>25.373574379999997</v>
      </c>
      <c r="H375" s="199">
        <f t="shared" si="60"/>
        <v>0</v>
      </c>
      <c r="I375" s="199">
        <f t="shared" si="61"/>
        <v>1801.5237809799999</v>
      </c>
      <c r="J375" s="199">
        <f t="shared" si="62"/>
        <v>1801.5237809799999</v>
      </c>
      <c r="L375" s="9"/>
      <c r="N375" s="254"/>
    </row>
    <row r="376" spans="1:14" ht="12.75">
      <c r="A376" s="78" t="s">
        <v>722</v>
      </c>
      <c r="B376" s="183" t="s">
        <v>706</v>
      </c>
      <c r="C376" s="185" t="s">
        <v>471</v>
      </c>
      <c r="D376" s="197">
        <v>6</v>
      </c>
      <c r="E376" s="214">
        <v>0</v>
      </c>
      <c r="F376" s="219">
        <f>29.18*K1</f>
        <v>30.569814219999998</v>
      </c>
      <c r="G376" s="219">
        <f t="shared" si="59"/>
        <v>30.569814219999998</v>
      </c>
      <c r="H376" s="199">
        <f t="shared" si="60"/>
        <v>0</v>
      </c>
      <c r="I376" s="199">
        <f t="shared" si="61"/>
        <v>183.41888532</v>
      </c>
      <c r="J376" s="199">
        <f t="shared" si="62"/>
        <v>183.41888532</v>
      </c>
      <c r="L376" s="9"/>
      <c r="N376" s="254"/>
    </row>
    <row r="377" spans="1:14" ht="12.75">
      <c r="A377" s="78" t="s">
        <v>723</v>
      </c>
      <c r="B377" s="183" t="s">
        <v>707</v>
      </c>
      <c r="C377" s="185" t="s">
        <v>708</v>
      </c>
      <c r="D377" s="197">
        <v>1500</v>
      </c>
      <c r="E377" s="214">
        <v>0</v>
      </c>
      <c r="F377" s="219">
        <f>21.89*K1</f>
        <v>22.93259881</v>
      </c>
      <c r="G377" s="219">
        <f t="shared" si="59"/>
        <v>22.93259881</v>
      </c>
      <c r="H377" s="199">
        <f t="shared" si="60"/>
        <v>0</v>
      </c>
      <c r="I377" s="199">
        <f t="shared" si="61"/>
        <v>34398.898214999994</v>
      </c>
      <c r="J377" s="199">
        <f t="shared" si="62"/>
        <v>34398.898214999994</v>
      </c>
      <c r="L377" s="9"/>
      <c r="N377" s="254"/>
    </row>
    <row r="378" spans="1:14" ht="12.75">
      <c r="A378" s="78" t="s">
        <v>724</v>
      </c>
      <c r="B378" s="183" t="s">
        <v>709</v>
      </c>
      <c r="C378" s="185" t="s">
        <v>471</v>
      </c>
      <c r="D378" s="197">
        <v>1100</v>
      </c>
      <c r="E378" s="214">
        <v>0</v>
      </c>
      <c r="F378" s="219">
        <f>26.5*K1</f>
        <v>27.762168499999998</v>
      </c>
      <c r="G378" s="219">
        <f t="shared" si="59"/>
        <v>27.762168499999998</v>
      </c>
      <c r="H378" s="199">
        <f t="shared" si="60"/>
        <v>0</v>
      </c>
      <c r="I378" s="199">
        <f t="shared" si="61"/>
        <v>30538.385349999997</v>
      </c>
      <c r="J378" s="199">
        <f t="shared" si="62"/>
        <v>30538.385349999997</v>
      </c>
      <c r="L378" s="9"/>
      <c r="N378" s="254"/>
    </row>
    <row r="379" spans="1:14" ht="12.75">
      <c r="A379" s="78" t="s">
        <v>725</v>
      </c>
      <c r="B379" s="183" t="s">
        <v>710</v>
      </c>
      <c r="C379" s="185" t="s">
        <v>81</v>
      </c>
      <c r="D379" s="197">
        <v>900</v>
      </c>
      <c r="E379" s="214">
        <v>0</v>
      </c>
      <c r="F379" s="219">
        <f>5.71*K1</f>
        <v>5.981961589999999</v>
      </c>
      <c r="G379" s="219">
        <f t="shared" si="59"/>
        <v>5.981961589999999</v>
      </c>
      <c r="H379" s="199">
        <f t="shared" si="60"/>
        <v>0</v>
      </c>
      <c r="I379" s="199">
        <f t="shared" si="61"/>
        <v>5383.765430999999</v>
      </c>
      <c r="J379" s="199">
        <f t="shared" si="62"/>
        <v>5383.765430999999</v>
      </c>
      <c r="L379" s="9"/>
      <c r="N379" s="254"/>
    </row>
    <row r="380" spans="1:14" ht="12.75">
      <c r="A380" s="78" t="s">
        <v>726</v>
      </c>
      <c r="B380" s="183" t="s">
        <v>711</v>
      </c>
      <c r="C380" s="185" t="s">
        <v>81</v>
      </c>
      <c r="D380" s="197">
        <v>18000</v>
      </c>
      <c r="E380" s="214">
        <v>0</v>
      </c>
      <c r="F380" s="219">
        <f>2.25*K1</f>
        <v>2.35716525</v>
      </c>
      <c r="G380" s="219">
        <f t="shared" si="59"/>
        <v>2.35716525</v>
      </c>
      <c r="H380" s="199">
        <f t="shared" si="60"/>
        <v>0</v>
      </c>
      <c r="I380" s="199">
        <f t="shared" si="61"/>
        <v>42428.9745</v>
      </c>
      <c r="J380" s="199">
        <f t="shared" si="62"/>
        <v>42428.9745</v>
      </c>
      <c r="L380" s="9"/>
      <c r="N380" s="254"/>
    </row>
    <row r="381" spans="1:14" ht="25.5">
      <c r="A381" s="78" t="s">
        <v>727</v>
      </c>
      <c r="B381" s="183" t="s">
        <v>712</v>
      </c>
      <c r="C381" s="185" t="s">
        <v>81</v>
      </c>
      <c r="D381" s="197">
        <v>22</v>
      </c>
      <c r="E381" s="214">
        <v>0</v>
      </c>
      <c r="F381" s="219">
        <f>103.04*K1</f>
        <v>107.94769216</v>
      </c>
      <c r="G381" s="219">
        <f t="shared" si="59"/>
        <v>107.94769216</v>
      </c>
      <c r="H381" s="199">
        <f t="shared" si="60"/>
        <v>0</v>
      </c>
      <c r="I381" s="199">
        <f t="shared" si="61"/>
        <v>2374.84922752</v>
      </c>
      <c r="J381" s="199">
        <f t="shared" si="62"/>
        <v>2374.84922752</v>
      </c>
      <c r="L381" s="9"/>
      <c r="N381" s="254"/>
    </row>
    <row r="382" spans="1:14" ht="12.75">
      <c r="A382" s="155" t="s">
        <v>728</v>
      </c>
      <c r="B382" s="153" t="s">
        <v>729</v>
      </c>
      <c r="C382" s="80"/>
      <c r="D382" s="199"/>
      <c r="E382" s="199"/>
      <c r="F382" s="199"/>
      <c r="G382" s="199"/>
      <c r="H382" s="199"/>
      <c r="I382" s="199"/>
      <c r="J382" s="199"/>
      <c r="L382" s="9"/>
      <c r="N382" s="254"/>
    </row>
    <row r="383" spans="1:14" ht="25.5">
      <c r="A383" s="78" t="s">
        <v>736</v>
      </c>
      <c r="B383" s="183" t="s">
        <v>730</v>
      </c>
      <c r="C383" s="185" t="s">
        <v>81</v>
      </c>
      <c r="D383" s="197">
        <v>390</v>
      </c>
      <c r="E383" s="214">
        <v>0</v>
      </c>
      <c r="F383" s="219">
        <f>84.22*K1</f>
        <v>88.23131437999999</v>
      </c>
      <c r="G383" s="219">
        <f>F383+E383</f>
        <v>88.23131437999999</v>
      </c>
      <c r="H383" s="199">
        <f t="shared" si="60"/>
        <v>0</v>
      </c>
      <c r="I383" s="199">
        <f t="shared" si="61"/>
        <v>34410.212608199996</v>
      </c>
      <c r="J383" s="199">
        <f t="shared" si="62"/>
        <v>34410.212608199996</v>
      </c>
      <c r="L383" s="9"/>
      <c r="N383" s="254"/>
    </row>
    <row r="384" spans="1:14" ht="25.5">
      <c r="A384" s="78" t="s">
        <v>737</v>
      </c>
      <c r="B384" s="183" t="s">
        <v>731</v>
      </c>
      <c r="C384" s="185" t="s">
        <v>81</v>
      </c>
      <c r="D384" s="197">
        <v>1100</v>
      </c>
      <c r="E384" s="214">
        <v>0</v>
      </c>
      <c r="F384" s="219">
        <f>32.42*K1</f>
        <v>33.96413218</v>
      </c>
      <c r="G384" s="219">
        <f aca="true" t="shared" si="63" ref="G384:G392">F384+E384</f>
        <v>33.96413218</v>
      </c>
      <c r="H384" s="199">
        <f t="shared" si="60"/>
        <v>0</v>
      </c>
      <c r="I384" s="199">
        <f t="shared" si="61"/>
        <v>37360.545398</v>
      </c>
      <c r="J384" s="199">
        <f t="shared" si="62"/>
        <v>37360.545398</v>
      </c>
      <c r="L384" s="9"/>
      <c r="N384" s="254"/>
    </row>
    <row r="385" spans="1:14" ht="38.25">
      <c r="A385" s="78" t="s">
        <v>738</v>
      </c>
      <c r="B385" s="183" t="s">
        <v>704</v>
      </c>
      <c r="C385" s="185" t="s">
        <v>471</v>
      </c>
      <c r="D385" s="197">
        <v>778</v>
      </c>
      <c r="E385" s="214">
        <v>0</v>
      </c>
      <c r="F385" s="219">
        <f>12.74*K1</f>
        <v>13.346793459999999</v>
      </c>
      <c r="G385" s="219">
        <f t="shared" si="63"/>
        <v>13.346793459999999</v>
      </c>
      <c r="H385" s="199">
        <f t="shared" si="60"/>
        <v>0</v>
      </c>
      <c r="I385" s="199">
        <f t="shared" si="61"/>
        <v>10383.80531188</v>
      </c>
      <c r="J385" s="199">
        <f t="shared" si="62"/>
        <v>10383.80531188</v>
      </c>
      <c r="L385" s="9"/>
      <c r="N385" s="254"/>
    </row>
    <row r="386" spans="1:14" ht="38.25">
      <c r="A386" s="78" t="s">
        <v>739</v>
      </c>
      <c r="B386" s="183" t="s">
        <v>732</v>
      </c>
      <c r="C386" s="185" t="s">
        <v>471</v>
      </c>
      <c r="D386" s="197">
        <v>778</v>
      </c>
      <c r="E386" s="214">
        <v>0</v>
      </c>
      <c r="F386" s="219">
        <f>14.53*K1</f>
        <v>15.222049369999999</v>
      </c>
      <c r="G386" s="219">
        <f t="shared" si="63"/>
        <v>15.222049369999999</v>
      </c>
      <c r="H386" s="199">
        <f t="shared" si="60"/>
        <v>0</v>
      </c>
      <c r="I386" s="199">
        <f t="shared" si="61"/>
        <v>11842.75440986</v>
      </c>
      <c r="J386" s="199">
        <f t="shared" si="62"/>
        <v>11842.75440986</v>
      </c>
      <c r="L386" s="9"/>
      <c r="N386" s="254"/>
    </row>
    <row r="387" spans="1:14" ht="12.75">
      <c r="A387" s="78" t="s">
        <v>740</v>
      </c>
      <c r="B387" s="183" t="s">
        <v>707</v>
      </c>
      <c r="C387" s="185" t="s">
        <v>81</v>
      </c>
      <c r="D387" s="197">
        <v>400</v>
      </c>
      <c r="E387" s="214">
        <v>0</v>
      </c>
      <c r="F387" s="219">
        <f>21.89*K1</f>
        <v>22.93259881</v>
      </c>
      <c r="G387" s="219">
        <f t="shared" si="63"/>
        <v>22.93259881</v>
      </c>
      <c r="H387" s="199">
        <f t="shared" si="60"/>
        <v>0</v>
      </c>
      <c r="I387" s="199">
        <f t="shared" si="61"/>
        <v>9173.039524</v>
      </c>
      <c r="J387" s="199">
        <f t="shared" si="62"/>
        <v>9173.039524</v>
      </c>
      <c r="L387" s="9"/>
      <c r="N387" s="254"/>
    </row>
    <row r="388" spans="1:14" ht="12.75">
      <c r="A388" s="78" t="s">
        <v>741</v>
      </c>
      <c r="B388" s="183" t="s">
        <v>709</v>
      </c>
      <c r="C388" s="185" t="s">
        <v>471</v>
      </c>
      <c r="D388" s="197">
        <v>112</v>
      </c>
      <c r="E388" s="214">
        <v>0</v>
      </c>
      <c r="F388" s="219">
        <f>22.41*K1</f>
        <v>23.477365889999998</v>
      </c>
      <c r="G388" s="219">
        <f t="shared" si="63"/>
        <v>23.477365889999998</v>
      </c>
      <c r="H388" s="199">
        <f t="shared" si="60"/>
        <v>0</v>
      </c>
      <c r="I388" s="199">
        <f t="shared" si="61"/>
        <v>2629.46497968</v>
      </c>
      <c r="J388" s="199">
        <f t="shared" si="62"/>
        <v>2629.46497968</v>
      </c>
      <c r="L388" s="9"/>
      <c r="N388" s="254"/>
    </row>
    <row r="389" spans="1:14" ht="12.75">
      <c r="A389" s="78" t="s">
        <v>742</v>
      </c>
      <c r="B389" s="183" t="s">
        <v>711</v>
      </c>
      <c r="C389" s="185" t="s">
        <v>81</v>
      </c>
      <c r="D389" s="197">
        <v>37000</v>
      </c>
      <c r="E389" s="214">
        <v>0</v>
      </c>
      <c r="F389" s="219">
        <f>2.25*K1</f>
        <v>2.35716525</v>
      </c>
      <c r="G389" s="219">
        <f t="shared" si="63"/>
        <v>2.35716525</v>
      </c>
      <c r="H389" s="199">
        <f t="shared" si="60"/>
        <v>0</v>
      </c>
      <c r="I389" s="199">
        <f t="shared" si="61"/>
        <v>87215.11425</v>
      </c>
      <c r="J389" s="199">
        <f t="shared" si="62"/>
        <v>87215.11425</v>
      </c>
      <c r="L389" s="9"/>
      <c r="N389" s="254"/>
    </row>
    <row r="390" spans="1:14" ht="12.75">
      <c r="A390" s="78" t="s">
        <v>743</v>
      </c>
      <c r="B390" s="183" t="s">
        <v>733</v>
      </c>
      <c r="C390" s="185" t="s">
        <v>471</v>
      </c>
      <c r="D390" s="197">
        <v>1</v>
      </c>
      <c r="E390" s="214">
        <v>0</v>
      </c>
      <c r="F390" s="219">
        <f>535.83*K1</f>
        <v>561.35104707</v>
      </c>
      <c r="G390" s="219">
        <f t="shared" si="63"/>
        <v>561.35104707</v>
      </c>
      <c r="H390" s="199">
        <f t="shared" si="60"/>
        <v>0</v>
      </c>
      <c r="I390" s="199">
        <f t="shared" si="61"/>
        <v>561.35104707</v>
      </c>
      <c r="J390" s="199">
        <f t="shared" si="62"/>
        <v>561.35104707</v>
      </c>
      <c r="L390" s="9"/>
      <c r="N390" s="254"/>
    </row>
    <row r="391" spans="1:14" ht="12.75">
      <c r="A391" s="78" t="s">
        <v>744</v>
      </c>
      <c r="B391" s="183" t="s">
        <v>734</v>
      </c>
      <c r="C391" s="185" t="s">
        <v>471</v>
      </c>
      <c r="D391" s="197">
        <v>5</v>
      </c>
      <c r="E391" s="214">
        <v>0</v>
      </c>
      <c r="F391" s="219">
        <f>107.01*K1</f>
        <v>112.10677928999999</v>
      </c>
      <c r="G391" s="219">
        <f t="shared" si="63"/>
        <v>112.10677928999999</v>
      </c>
      <c r="H391" s="199">
        <f t="shared" si="60"/>
        <v>0</v>
      </c>
      <c r="I391" s="199">
        <f t="shared" si="61"/>
        <v>560.5338964499999</v>
      </c>
      <c r="J391" s="199">
        <f t="shared" si="62"/>
        <v>560.5338964499999</v>
      </c>
      <c r="L391" s="9"/>
      <c r="N391" s="254"/>
    </row>
    <row r="392" spans="1:14" ht="12.75">
      <c r="A392" s="78" t="s">
        <v>745</v>
      </c>
      <c r="B392" s="183" t="s">
        <v>735</v>
      </c>
      <c r="C392" s="185" t="s">
        <v>471</v>
      </c>
      <c r="D392" s="197">
        <v>14</v>
      </c>
      <c r="E392" s="214">
        <v>0</v>
      </c>
      <c r="F392" s="219">
        <f>45.7*K1</f>
        <v>47.8766453</v>
      </c>
      <c r="G392" s="219">
        <f t="shared" si="63"/>
        <v>47.8766453</v>
      </c>
      <c r="H392" s="199">
        <f t="shared" si="60"/>
        <v>0</v>
      </c>
      <c r="I392" s="199">
        <f t="shared" si="61"/>
        <v>670.2730342</v>
      </c>
      <c r="J392" s="199">
        <f t="shared" si="62"/>
        <v>670.2730342</v>
      </c>
      <c r="K392" s="225"/>
      <c r="L392" s="9"/>
      <c r="N392" s="254"/>
    </row>
    <row r="393" spans="1:14" ht="12.75">
      <c r="A393" s="155" t="s">
        <v>747</v>
      </c>
      <c r="B393" s="153" t="s">
        <v>746</v>
      </c>
      <c r="C393" s="80"/>
      <c r="D393" s="199"/>
      <c r="E393" s="199"/>
      <c r="F393" s="199"/>
      <c r="G393" s="199"/>
      <c r="H393" s="199"/>
      <c r="I393" s="199"/>
      <c r="J393" s="199"/>
      <c r="L393" s="9"/>
      <c r="N393" s="254"/>
    </row>
    <row r="394" spans="1:14" ht="25.5">
      <c r="A394" s="78" t="s">
        <v>761</v>
      </c>
      <c r="B394" s="183" t="s">
        <v>748</v>
      </c>
      <c r="C394" s="185" t="s">
        <v>81</v>
      </c>
      <c r="D394" s="197">
        <v>320</v>
      </c>
      <c r="E394" s="214">
        <v>0</v>
      </c>
      <c r="F394" s="219">
        <f>63.45*K1</f>
        <v>66.47206005</v>
      </c>
      <c r="G394" s="219">
        <f>F394+E394</f>
        <v>66.47206005</v>
      </c>
      <c r="H394" s="199">
        <f t="shared" si="60"/>
        <v>0</v>
      </c>
      <c r="I394" s="199">
        <f t="shared" si="61"/>
        <v>21271.059215999998</v>
      </c>
      <c r="J394" s="199">
        <f t="shared" si="62"/>
        <v>21271.059215999998</v>
      </c>
      <c r="L394" s="9"/>
      <c r="N394" s="254"/>
    </row>
    <row r="395" spans="1:14" ht="12.75">
      <c r="A395" s="78" t="s">
        <v>762</v>
      </c>
      <c r="B395" s="183" t="s">
        <v>749</v>
      </c>
      <c r="C395" s="185" t="s">
        <v>81</v>
      </c>
      <c r="D395" s="197">
        <v>84</v>
      </c>
      <c r="E395" s="214">
        <v>0</v>
      </c>
      <c r="F395" s="219">
        <f>26*K1</f>
        <v>27.238353999999998</v>
      </c>
      <c r="G395" s="219">
        <f aca="true" t="shared" si="64" ref="G395:G406">F395+E395</f>
        <v>27.238353999999998</v>
      </c>
      <c r="H395" s="199">
        <f t="shared" si="60"/>
        <v>0</v>
      </c>
      <c r="I395" s="199">
        <f t="shared" si="61"/>
        <v>2288.0217359999997</v>
      </c>
      <c r="J395" s="199">
        <f t="shared" si="62"/>
        <v>2288.0217359999997</v>
      </c>
      <c r="L395" s="9"/>
      <c r="N395" s="254"/>
    </row>
    <row r="396" spans="1:14" ht="12.75">
      <c r="A396" s="78" t="s">
        <v>763</v>
      </c>
      <c r="B396" s="183" t="s">
        <v>750</v>
      </c>
      <c r="C396" s="185" t="s">
        <v>81</v>
      </c>
      <c r="D396" s="197">
        <v>250</v>
      </c>
      <c r="E396" s="214">
        <v>0</v>
      </c>
      <c r="F396" s="219">
        <f>42*K1</f>
        <v>44.000417999999996</v>
      </c>
      <c r="G396" s="219">
        <f t="shared" si="64"/>
        <v>44.000417999999996</v>
      </c>
      <c r="H396" s="199">
        <f t="shared" si="60"/>
        <v>0</v>
      </c>
      <c r="I396" s="199">
        <f t="shared" si="61"/>
        <v>11000.1045</v>
      </c>
      <c r="J396" s="199">
        <f t="shared" si="62"/>
        <v>11000.1045</v>
      </c>
      <c r="L396" s="9"/>
      <c r="N396" s="254"/>
    </row>
    <row r="397" spans="1:14" ht="12.75">
      <c r="A397" s="78" t="s">
        <v>764</v>
      </c>
      <c r="B397" s="193" t="s">
        <v>751</v>
      </c>
      <c r="C397" s="185" t="s">
        <v>471</v>
      </c>
      <c r="D397" s="197">
        <v>23</v>
      </c>
      <c r="E397" s="214">
        <v>0</v>
      </c>
      <c r="F397" s="219">
        <f>31.18*K1</f>
        <v>32.66507222</v>
      </c>
      <c r="G397" s="219">
        <f t="shared" si="64"/>
        <v>32.66507222</v>
      </c>
      <c r="H397" s="199">
        <f t="shared" si="60"/>
        <v>0</v>
      </c>
      <c r="I397" s="199">
        <f t="shared" si="61"/>
        <v>751.29666106</v>
      </c>
      <c r="J397" s="199">
        <f t="shared" si="62"/>
        <v>751.29666106</v>
      </c>
      <c r="L397" s="9"/>
      <c r="N397" s="254"/>
    </row>
    <row r="398" spans="1:14" ht="25.5">
      <c r="A398" s="78" t="s">
        <v>765</v>
      </c>
      <c r="B398" s="193" t="s">
        <v>752</v>
      </c>
      <c r="C398" s="185" t="s">
        <v>471</v>
      </c>
      <c r="D398" s="197">
        <v>25</v>
      </c>
      <c r="E398" s="214">
        <v>0</v>
      </c>
      <c r="F398" s="219">
        <f>120.59*K1</f>
        <v>126.33358111</v>
      </c>
      <c r="G398" s="219">
        <f t="shared" si="64"/>
        <v>126.33358111</v>
      </c>
      <c r="H398" s="199">
        <f t="shared" si="60"/>
        <v>0</v>
      </c>
      <c r="I398" s="199">
        <f t="shared" si="61"/>
        <v>3158.33952775</v>
      </c>
      <c r="J398" s="199">
        <f t="shared" si="62"/>
        <v>3158.33952775</v>
      </c>
      <c r="L398" s="9"/>
      <c r="N398" s="254"/>
    </row>
    <row r="399" spans="1:14" ht="38.25">
      <c r="A399" s="78" t="s">
        <v>766</v>
      </c>
      <c r="B399" s="170" t="s">
        <v>753</v>
      </c>
      <c r="C399" s="185" t="s">
        <v>471</v>
      </c>
      <c r="D399" s="197">
        <v>286</v>
      </c>
      <c r="E399" s="214">
        <v>0</v>
      </c>
      <c r="F399" s="219">
        <f>16.74*K1</f>
        <v>17.537309459999996</v>
      </c>
      <c r="G399" s="219">
        <f t="shared" si="64"/>
        <v>17.537309459999996</v>
      </c>
      <c r="H399" s="199">
        <f t="shared" si="60"/>
        <v>0</v>
      </c>
      <c r="I399" s="199">
        <f t="shared" si="61"/>
        <v>5015.670505559999</v>
      </c>
      <c r="J399" s="199">
        <f t="shared" si="62"/>
        <v>5015.670505559999</v>
      </c>
      <c r="L399" s="9"/>
      <c r="N399" s="254"/>
    </row>
    <row r="400" spans="1:14" ht="12.75">
      <c r="A400" s="78" t="s">
        <v>767</v>
      </c>
      <c r="B400" s="183" t="s">
        <v>754</v>
      </c>
      <c r="C400" s="185" t="s">
        <v>471</v>
      </c>
      <c r="D400" s="197">
        <v>329</v>
      </c>
      <c r="E400" s="214">
        <v>0</v>
      </c>
      <c r="F400" s="219">
        <f>22.86*K1</f>
        <v>23.948798939999996</v>
      </c>
      <c r="G400" s="219">
        <f t="shared" si="64"/>
        <v>23.948798939999996</v>
      </c>
      <c r="H400" s="199">
        <f t="shared" si="60"/>
        <v>0</v>
      </c>
      <c r="I400" s="199">
        <f t="shared" si="61"/>
        <v>7879.154851259998</v>
      </c>
      <c r="J400" s="199">
        <f t="shared" si="62"/>
        <v>7879.154851259998</v>
      </c>
      <c r="L400" s="9"/>
      <c r="N400" s="254"/>
    </row>
    <row r="401" spans="1:14" ht="12.75">
      <c r="A401" s="78" t="s">
        <v>768</v>
      </c>
      <c r="B401" s="183" t="s">
        <v>755</v>
      </c>
      <c r="C401" s="185" t="s">
        <v>81</v>
      </c>
      <c r="D401" s="197">
        <v>16000</v>
      </c>
      <c r="E401" s="214">
        <v>0</v>
      </c>
      <c r="F401" s="219">
        <f>4.82*K1</f>
        <v>5.04957178</v>
      </c>
      <c r="G401" s="219">
        <f t="shared" si="64"/>
        <v>5.04957178</v>
      </c>
      <c r="H401" s="199">
        <f t="shared" si="60"/>
        <v>0</v>
      </c>
      <c r="I401" s="199">
        <f t="shared" si="61"/>
        <v>80793.14848</v>
      </c>
      <c r="J401" s="199">
        <f t="shared" si="62"/>
        <v>80793.14848</v>
      </c>
      <c r="L401" s="9"/>
      <c r="N401" s="254"/>
    </row>
    <row r="402" spans="1:14" ht="25.5">
      <c r="A402" s="78" t="s">
        <v>769</v>
      </c>
      <c r="B402" s="183" t="s">
        <v>756</v>
      </c>
      <c r="C402" s="185" t="s">
        <v>471</v>
      </c>
      <c r="D402" s="197">
        <v>2</v>
      </c>
      <c r="E402" s="214">
        <v>0</v>
      </c>
      <c r="F402" s="219">
        <f>2100.12*K1</f>
        <v>2200.1466154799996</v>
      </c>
      <c r="G402" s="219">
        <f t="shared" si="64"/>
        <v>2200.1466154799996</v>
      </c>
      <c r="H402" s="199">
        <f t="shared" si="60"/>
        <v>0</v>
      </c>
      <c r="I402" s="199">
        <f t="shared" si="61"/>
        <v>4400.293230959999</v>
      </c>
      <c r="J402" s="199">
        <f t="shared" si="62"/>
        <v>4400.293230959999</v>
      </c>
      <c r="L402" s="9"/>
      <c r="N402" s="254"/>
    </row>
    <row r="403" spans="1:14" ht="12.75">
      <c r="A403" s="78" t="s">
        <v>770</v>
      </c>
      <c r="B403" s="183" t="s">
        <v>757</v>
      </c>
      <c r="C403" s="185" t="s">
        <v>471</v>
      </c>
      <c r="D403" s="197">
        <v>1</v>
      </c>
      <c r="E403" s="214">
        <v>0</v>
      </c>
      <c r="F403" s="219">
        <f>227.54*K1</f>
        <v>238.37750265999998</v>
      </c>
      <c r="G403" s="219">
        <f t="shared" si="64"/>
        <v>238.37750265999998</v>
      </c>
      <c r="H403" s="199">
        <f t="shared" si="60"/>
        <v>0</v>
      </c>
      <c r="I403" s="199">
        <f t="shared" si="61"/>
        <v>238.37750265999998</v>
      </c>
      <c r="J403" s="199">
        <f t="shared" si="62"/>
        <v>238.37750265999998</v>
      </c>
      <c r="L403" s="9"/>
      <c r="N403" s="254"/>
    </row>
    <row r="404" spans="1:14" ht="12.75">
      <c r="A404" s="78" t="s">
        <v>771</v>
      </c>
      <c r="B404" s="183" t="s">
        <v>758</v>
      </c>
      <c r="C404" s="185" t="s">
        <v>471</v>
      </c>
      <c r="D404" s="197">
        <v>1</v>
      </c>
      <c r="E404" s="214">
        <v>0</v>
      </c>
      <c r="F404" s="219">
        <f>1154.99*K1</f>
        <v>1210.00101871</v>
      </c>
      <c r="G404" s="219">
        <f t="shared" si="64"/>
        <v>1210.00101871</v>
      </c>
      <c r="H404" s="199">
        <f t="shared" si="60"/>
        <v>0</v>
      </c>
      <c r="I404" s="199">
        <f t="shared" si="61"/>
        <v>1210.00101871</v>
      </c>
      <c r="J404" s="199">
        <f t="shared" si="62"/>
        <v>1210.00101871</v>
      </c>
      <c r="L404" s="9"/>
      <c r="N404" s="254"/>
    </row>
    <row r="405" spans="1:14" ht="12.75">
      <c r="A405" s="78" t="s">
        <v>772</v>
      </c>
      <c r="B405" s="183" t="s">
        <v>759</v>
      </c>
      <c r="C405" s="185" t="s">
        <v>471</v>
      </c>
      <c r="D405" s="197">
        <v>26</v>
      </c>
      <c r="E405" s="214">
        <v>0</v>
      </c>
      <c r="F405" s="219">
        <f>30.94*K1</f>
        <v>32.41364126</v>
      </c>
      <c r="G405" s="219">
        <f t="shared" si="64"/>
        <v>32.41364126</v>
      </c>
      <c r="H405" s="199">
        <f t="shared" si="60"/>
        <v>0</v>
      </c>
      <c r="I405" s="199">
        <f t="shared" si="61"/>
        <v>842.75467276</v>
      </c>
      <c r="J405" s="199">
        <f t="shared" si="62"/>
        <v>842.75467276</v>
      </c>
      <c r="L405" s="9"/>
      <c r="N405" s="254"/>
    </row>
    <row r="406" spans="1:14" ht="12.75">
      <c r="A406" s="78" t="s">
        <v>773</v>
      </c>
      <c r="B406" s="183" t="s">
        <v>760</v>
      </c>
      <c r="C406" s="185" t="s">
        <v>471</v>
      </c>
      <c r="D406" s="197">
        <v>14</v>
      </c>
      <c r="E406" s="214">
        <v>0</v>
      </c>
      <c r="F406" s="219">
        <f>516.19*K1</f>
        <v>540.77561351</v>
      </c>
      <c r="G406" s="219">
        <f t="shared" si="64"/>
        <v>540.77561351</v>
      </c>
      <c r="H406" s="199">
        <f t="shared" si="60"/>
        <v>0</v>
      </c>
      <c r="I406" s="199">
        <f t="shared" si="61"/>
        <v>7570.85858914</v>
      </c>
      <c r="J406" s="199">
        <f t="shared" si="62"/>
        <v>7570.85858914</v>
      </c>
      <c r="L406" s="9"/>
      <c r="N406" s="254"/>
    </row>
    <row r="407" spans="1:14" ht="12.75">
      <c r="A407" s="155" t="s">
        <v>775</v>
      </c>
      <c r="B407" s="153" t="s">
        <v>774</v>
      </c>
      <c r="C407" s="80"/>
      <c r="D407" s="199"/>
      <c r="E407" s="199"/>
      <c r="F407" s="199"/>
      <c r="G407" s="199"/>
      <c r="H407" s="199"/>
      <c r="I407" s="199"/>
      <c r="J407" s="199"/>
      <c r="L407" s="9"/>
      <c r="N407" s="254"/>
    </row>
    <row r="408" spans="1:14" ht="25.5">
      <c r="A408" s="78" t="s">
        <v>787</v>
      </c>
      <c r="B408" s="183" t="s">
        <v>776</v>
      </c>
      <c r="C408" s="185" t="s">
        <v>81</v>
      </c>
      <c r="D408" s="197">
        <v>70</v>
      </c>
      <c r="E408" s="214">
        <v>0</v>
      </c>
      <c r="F408" s="219">
        <f>36.49*K1</f>
        <v>38.22798221</v>
      </c>
      <c r="G408" s="219">
        <f>F408+E408</f>
        <v>38.22798221</v>
      </c>
      <c r="H408" s="199">
        <f t="shared" si="60"/>
        <v>0</v>
      </c>
      <c r="I408" s="199">
        <f t="shared" si="61"/>
        <v>2675.9587547</v>
      </c>
      <c r="J408" s="199">
        <f t="shared" si="62"/>
        <v>2675.9587547</v>
      </c>
      <c r="L408" s="9"/>
      <c r="N408" s="254"/>
    </row>
    <row r="409" spans="1:14" ht="12.75">
      <c r="A409" s="78" t="s">
        <v>788</v>
      </c>
      <c r="B409" s="183" t="s">
        <v>777</v>
      </c>
      <c r="C409" s="185" t="s">
        <v>81</v>
      </c>
      <c r="D409" s="197">
        <v>638</v>
      </c>
      <c r="E409" s="214">
        <v>0</v>
      </c>
      <c r="F409" s="219">
        <f>23.49*K1</f>
        <v>24.608805209999996</v>
      </c>
      <c r="G409" s="219">
        <f aca="true" t="shared" si="65" ref="G409:G423">F409+E409</f>
        <v>24.608805209999996</v>
      </c>
      <c r="H409" s="199">
        <f t="shared" si="60"/>
        <v>0</v>
      </c>
      <c r="I409" s="199">
        <f t="shared" si="61"/>
        <v>15700.417723979997</v>
      </c>
      <c r="J409" s="199">
        <f t="shared" si="62"/>
        <v>15700.417723979997</v>
      </c>
      <c r="L409" s="9"/>
      <c r="N409" s="254"/>
    </row>
    <row r="410" spans="1:14" ht="12.75">
      <c r="A410" s="78" t="s">
        <v>789</v>
      </c>
      <c r="B410" s="183" t="s">
        <v>627</v>
      </c>
      <c r="C410" s="185" t="s">
        <v>81</v>
      </c>
      <c r="D410" s="197">
        <v>40</v>
      </c>
      <c r="E410" s="214">
        <v>0</v>
      </c>
      <c r="F410" s="219">
        <f>42*K1</f>
        <v>44.000417999999996</v>
      </c>
      <c r="G410" s="219">
        <f t="shared" si="65"/>
        <v>44.000417999999996</v>
      </c>
      <c r="H410" s="199">
        <f t="shared" si="60"/>
        <v>0</v>
      </c>
      <c r="I410" s="199">
        <f t="shared" si="61"/>
        <v>1760.0167199999999</v>
      </c>
      <c r="J410" s="199">
        <f t="shared" si="62"/>
        <v>1760.0167199999999</v>
      </c>
      <c r="L410" s="9"/>
      <c r="N410" s="254"/>
    </row>
    <row r="411" spans="1:14" ht="12.75">
      <c r="A411" s="78" t="s">
        <v>790</v>
      </c>
      <c r="B411" s="193" t="s">
        <v>709</v>
      </c>
      <c r="C411" s="185" t="s">
        <v>471</v>
      </c>
      <c r="D411" s="197">
        <v>42</v>
      </c>
      <c r="E411" s="214">
        <v>0</v>
      </c>
      <c r="F411" s="219">
        <f>22.41*K1</f>
        <v>23.477365889999998</v>
      </c>
      <c r="G411" s="219">
        <f t="shared" si="65"/>
        <v>23.477365889999998</v>
      </c>
      <c r="H411" s="199">
        <f t="shared" si="60"/>
        <v>0</v>
      </c>
      <c r="I411" s="199">
        <f t="shared" si="61"/>
        <v>986.0493673799999</v>
      </c>
      <c r="J411" s="199">
        <f t="shared" si="62"/>
        <v>986.0493673799999</v>
      </c>
      <c r="L411" s="9"/>
      <c r="N411" s="254"/>
    </row>
    <row r="412" spans="1:14" ht="12.75">
      <c r="A412" s="78" t="s">
        <v>791</v>
      </c>
      <c r="B412" s="183" t="s">
        <v>711</v>
      </c>
      <c r="C412" s="185" t="s">
        <v>81</v>
      </c>
      <c r="D412" s="197">
        <v>3600</v>
      </c>
      <c r="E412" s="214">
        <v>0</v>
      </c>
      <c r="F412" s="219">
        <f>2.25*K1</f>
        <v>2.35716525</v>
      </c>
      <c r="G412" s="219">
        <f t="shared" si="65"/>
        <v>2.35716525</v>
      </c>
      <c r="H412" s="199">
        <f t="shared" si="60"/>
        <v>0</v>
      </c>
      <c r="I412" s="199">
        <f t="shared" si="61"/>
        <v>8485.7949</v>
      </c>
      <c r="J412" s="199">
        <f t="shared" si="62"/>
        <v>8485.7949</v>
      </c>
      <c r="L412" s="9"/>
      <c r="N412" s="254"/>
    </row>
    <row r="413" spans="1:14" ht="12.75">
      <c r="A413" s="78" t="s">
        <v>792</v>
      </c>
      <c r="B413" s="183" t="s">
        <v>778</v>
      </c>
      <c r="C413" s="185" t="s">
        <v>81</v>
      </c>
      <c r="D413" s="197">
        <v>700</v>
      </c>
      <c r="E413" s="214">
        <v>0</v>
      </c>
      <c r="F413" s="219">
        <f>2.97*K1</f>
        <v>3.11145813</v>
      </c>
      <c r="G413" s="219">
        <f t="shared" si="65"/>
        <v>3.11145813</v>
      </c>
      <c r="H413" s="199">
        <f t="shared" si="60"/>
        <v>0</v>
      </c>
      <c r="I413" s="199">
        <f t="shared" si="61"/>
        <v>2178.020691</v>
      </c>
      <c r="J413" s="199">
        <f t="shared" si="62"/>
        <v>2178.020691</v>
      </c>
      <c r="L413" s="9"/>
      <c r="N413" s="254"/>
    </row>
    <row r="414" spans="1:14" ht="12.75">
      <c r="A414" s="78" t="s">
        <v>793</v>
      </c>
      <c r="B414" s="183" t="s">
        <v>779</v>
      </c>
      <c r="C414" s="185" t="s">
        <v>81</v>
      </c>
      <c r="D414" s="197">
        <v>220</v>
      </c>
      <c r="E414" s="214">
        <v>0</v>
      </c>
      <c r="F414" s="219">
        <f>3.85*K1</f>
        <v>4.033371649999999</v>
      </c>
      <c r="G414" s="219">
        <f t="shared" si="65"/>
        <v>4.033371649999999</v>
      </c>
      <c r="H414" s="199">
        <f t="shared" si="60"/>
        <v>0</v>
      </c>
      <c r="I414" s="199">
        <f t="shared" si="61"/>
        <v>887.3417629999999</v>
      </c>
      <c r="J414" s="199">
        <f t="shared" si="62"/>
        <v>887.3417629999999</v>
      </c>
      <c r="L414" s="9"/>
      <c r="N414" s="254"/>
    </row>
    <row r="415" spans="1:14" ht="12.75">
      <c r="A415" s="78" t="s">
        <v>794</v>
      </c>
      <c r="B415" s="183" t="s">
        <v>780</v>
      </c>
      <c r="C415" s="185" t="s">
        <v>81</v>
      </c>
      <c r="D415" s="197">
        <v>80</v>
      </c>
      <c r="E415" s="214">
        <v>0</v>
      </c>
      <c r="F415" s="219">
        <f>5.62*K1</f>
        <v>5.88767498</v>
      </c>
      <c r="G415" s="219">
        <f t="shared" si="65"/>
        <v>5.88767498</v>
      </c>
      <c r="H415" s="199">
        <f t="shared" si="60"/>
        <v>0</v>
      </c>
      <c r="I415" s="199">
        <f t="shared" si="61"/>
        <v>471.0139984</v>
      </c>
      <c r="J415" s="199">
        <f t="shared" si="62"/>
        <v>471.0139984</v>
      </c>
      <c r="L415" s="9"/>
      <c r="N415" s="254"/>
    </row>
    <row r="416" spans="1:14" ht="12.75">
      <c r="A416" s="78" t="s">
        <v>795</v>
      </c>
      <c r="B416" s="183" t="s">
        <v>781</v>
      </c>
      <c r="C416" s="185" t="s">
        <v>81</v>
      </c>
      <c r="D416" s="197">
        <v>80</v>
      </c>
      <c r="E416" s="214">
        <v>0</v>
      </c>
      <c r="F416" s="219">
        <f>11.06*K1</f>
        <v>11.58677674</v>
      </c>
      <c r="G416" s="219">
        <f t="shared" si="65"/>
        <v>11.58677674</v>
      </c>
      <c r="H416" s="199">
        <f t="shared" si="60"/>
        <v>0</v>
      </c>
      <c r="I416" s="199">
        <f t="shared" si="61"/>
        <v>926.9421391999999</v>
      </c>
      <c r="J416" s="199">
        <f t="shared" si="62"/>
        <v>926.9421391999999</v>
      </c>
      <c r="L416" s="9"/>
      <c r="N416" s="254"/>
    </row>
    <row r="417" spans="1:14" ht="12.75">
      <c r="A417" s="78" t="s">
        <v>796</v>
      </c>
      <c r="B417" s="183" t="s">
        <v>705</v>
      </c>
      <c r="C417" s="185" t="s">
        <v>471</v>
      </c>
      <c r="D417" s="197">
        <v>6</v>
      </c>
      <c r="E417" s="214">
        <v>0</v>
      </c>
      <c r="F417" s="219">
        <f>24.22*K1</f>
        <v>25.373574379999997</v>
      </c>
      <c r="G417" s="219">
        <f t="shared" si="65"/>
        <v>25.373574379999997</v>
      </c>
      <c r="H417" s="199">
        <f t="shared" si="60"/>
        <v>0</v>
      </c>
      <c r="I417" s="199">
        <f t="shared" si="61"/>
        <v>152.24144628</v>
      </c>
      <c r="J417" s="199">
        <f t="shared" si="62"/>
        <v>152.24144628</v>
      </c>
      <c r="L417" s="9"/>
      <c r="N417" s="254"/>
    </row>
    <row r="418" spans="1:14" ht="12.75">
      <c r="A418" s="78" t="s">
        <v>797</v>
      </c>
      <c r="B418" s="183" t="s">
        <v>782</v>
      </c>
      <c r="C418" s="185" t="s">
        <v>471</v>
      </c>
      <c r="D418" s="197">
        <v>12</v>
      </c>
      <c r="E418" s="214">
        <v>0</v>
      </c>
      <c r="F418" s="219">
        <f>17.42*K1</f>
        <v>18.249697180000002</v>
      </c>
      <c r="G418" s="219">
        <f t="shared" si="65"/>
        <v>18.249697180000002</v>
      </c>
      <c r="H418" s="199">
        <f t="shared" si="60"/>
        <v>0</v>
      </c>
      <c r="I418" s="199">
        <f t="shared" si="61"/>
        <v>218.99636616000004</v>
      </c>
      <c r="J418" s="199">
        <f t="shared" si="62"/>
        <v>218.99636616000004</v>
      </c>
      <c r="L418" s="9"/>
      <c r="N418" s="254"/>
    </row>
    <row r="419" spans="1:14" ht="25.5">
      <c r="A419" s="78" t="s">
        <v>798</v>
      </c>
      <c r="B419" s="183" t="s">
        <v>783</v>
      </c>
      <c r="C419" s="185" t="s">
        <v>471</v>
      </c>
      <c r="D419" s="197">
        <v>3</v>
      </c>
      <c r="E419" s="214">
        <v>0</v>
      </c>
      <c r="F419" s="219">
        <f>35.76*K1</f>
        <v>37.46321303999999</v>
      </c>
      <c r="G419" s="219">
        <f t="shared" si="65"/>
        <v>37.46321303999999</v>
      </c>
      <c r="H419" s="199">
        <f t="shared" si="60"/>
        <v>0</v>
      </c>
      <c r="I419" s="199">
        <f t="shared" si="61"/>
        <v>112.38963911999997</v>
      </c>
      <c r="J419" s="199">
        <f t="shared" si="62"/>
        <v>112.38963911999997</v>
      </c>
      <c r="L419" s="9"/>
      <c r="N419" s="254"/>
    </row>
    <row r="420" spans="1:14" ht="25.5">
      <c r="A420" s="78" t="s">
        <v>799</v>
      </c>
      <c r="B420" s="191" t="s">
        <v>529</v>
      </c>
      <c r="C420" s="185" t="s">
        <v>471</v>
      </c>
      <c r="D420" s="197">
        <v>12</v>
      </c>
      <c r="E420" s="214">
        <v>0</v>
      </c>
      <c r="F420" s="219">
        <f>68.92*K1</f>
        <v>72.20259068</v>
      </c>
      <c r="G420" s="219">
        <f t="shared" si="65"/>
        <v>72.20259068</v>
      </c>
      <c r="H420" s="199">
        <f t="shared" si="60"/>
        <v>0</v>
      </c>
      <c r="I420" s="199">
        <f t="shared" si="61"/>
        <v>866.43108816</v>
      </c>
      <c r="J420" s="199">
        <f t="shared" si="62"/>
        <v>866.43108816</v>
      </c>
      <c r="L420" s="9"/>
      <c r="N420" s="254"/>
    </row>
    <row r="421" spans="1:14" ht="12.75">
      <c r="A421" s="78" t="s">
        <v>800</v>
      </c>
      <c r="B421" s="194" t="s">
        <v>784</v>
      </c>
      <c r="C421" s="185" t="s">
        <v>471</v>
      </c>
      <c r="D421" s="197">
        <v>6</v>
      </c>
      <c r="E421" s="214">
        <v>0</v>
      </c>
      <c r="F421" s="219">
        <f>6.04*K1</f>
        <v>6.32767916</v>
      </c>
      <c r="G421" s="219">
        <f t="shared" si="65"/>
        <v>6.32767916</v>
      </c>
      <c r="H421" s="199">
        <f t="shared" si="60"/>
        <v>0</v>
      </c>
      <c r="I421" s="199">
        <f t="shared" si="61"/>
        <v>37.96607496</v>
      </c>
      <c r="J421" s="199">
        <f t="shared" si="62"/>
        <v>37.96607496</v>
      </c>
      <c r="L421" s="9"/>
      <c r="N421" s="254"/>
    </row>
    <row r="422" spans="1:14" ht="12.75">
      <c r="A422" s="78" t="s">
        <v>801</v>
      </c>
      <c r="B422" s="183" t="s">
        <v>785</v>
      </c>
      <c r="C422" s="185" t="s">
        <v>471</v>
      </c>
      <c r="D422" s="197">
        <v>3</v>
      </c>
      <c r="E422" s="214">
        <v>0</v>
      </c>
      <c r="F422" s="219">
        <f>27.02*K1</f>
        <v>28.306935579999998</v>
      </c>
      <c r="G422" s="219">
        <f t="shared" si="65"/>
        <v>28.306935579999998</v>
      </c>
      <c r="H422" s="199">
        <f t="shared" si="60"/>
        <v>0</v>
      </c>
      <c r="I422" s="199">
        <f t="shared" si="61"/>
        <v>84.92080673999999</v>
      </c>
      <c r="J422" s="199">
        <f t="shared" si="62"/>
        <v>84.92080673999999</v>
      </c>
      <c r="L422" s="9"/>
      <c r="N422" s="254"/>
    </row>
    <row r="423" spans="1:14" ht="25.5">
      <c r="A423" s="78" t="s">
        <v>802</v>
      </c>
      <c r="B423" s="184" t="s">
        <v>786</v>
      </c>
      <c r="C423" s="185" t="s">
        <v>471</v>
      </c>
      <c r="D423" s="197">
        <v>42</v>
      </c>
      <c r="E423" s="214">
        <v>0</v>
      </c>
      <c r="F423" s="219">
        <f>623*K1</f>
        <v>652.672867</v>
      </c>
      <c r="G423" s="219">
        <f t="shared" si="65"/>
        <v>652.672867</v>
      </c>
      <c r="H423" s="199">
        <f t="shared" si="60"/>
        <v>0</v>
      </c>
      <c r="I423" s="199">
        <f t="shared" si="61"/>
        <v>27412.260414</v>
      </c>
      <c r="J423" s="199">
        <f t="shared" si="62"/>
        <v>27412.260414</v>
      </c>
      <c r="L423" s="9"/>
      <c r="N423" s="254"/>
    </row>
    <row r="424" spans="1:14" ht="12.75">
      <c r="A424" s="155" t="s">
        <v>804</v>
      </c>
      <c r="B424" s="153" t="s">
        <v>803</v>
      </c>
      <c r="C424" s="80"/>
      <c r="D424" s="199"/>
      <c r="E424" s="199"/>
      <c r="F424" s="199"/>
      <c r="G424" s="199"/>
      <c r="H424" s="199"/>
      <c r="I424" s="199"/>
      <c r="J424" s="199"/>
      <c r="L424" s="9"/>
      <c r="N424" s="254"/>
    </row>
    <row r="425" spans="1:14" ht="12.75">
      <c r="A425" s="155" t="s">
        <v>805</v>
      </c>
      <c r="B425" s="153" t="s">
        <v>806</v>
      </c>
      <c r="C425" s="80"/>
      <c r="D425" s="199"/>
      <c r="E425" s="199"/>
      <c r="F425" s="199"/>
      <c r="G425" s="199"/>
      <c r="H425" s="199"/>
      <c r="I425" s="199"/>
      <c r="J425" s="199"/>
      <c r="L425" s="9"/>
      <c r="N425" s="254"/>
    </row>
    <row r="426" spans="1:14" ht="48">
      <c r="A426" s="78" t="s">
        <v>808</v>
      </c>
      <c r="B426" s="195" t="s">
        <v>809</v>
      </c>
      <c r="C426" s="196" t="s">
        <v>49</v>
      </c>
      <c r="D426" s="197">
        <v>1</v>
      </c>
      <c r="E426" s="255">
        <f>81000*K1</f>
        <v>84857.949</v>
      </c>
      <c r="F426" s="255">
        <f>1250*K1</f>
        <v>1309.5362499999999</v>
      </c>
      <c r="G426" s="255">
        <f>F426+E426</f>
        <v>86167.48525</v>
      </c>
      <c r="H426" s="255">
        <f t="shared" si="60"/>
        <v>84857.949</v>
      </c>
      <c r="I426" s="255">
        <f t="shared" si="61"/>
        <v>1309.5362499999999</v>
      </c>
      <c r="J426" s="255">
        <f t="shared" si="62"/>
        <v>86167.48525</v>
      </c>
      <c r="L426" s="9"/>
      <c r="N426" s="254"/>
    </row>
    <row r="427" spans="1:14" ht="48">
      <c r="A427" s="78" t="s">
        <v>807</v>
      </c>
      <c r="B427" s="195" t="s">
        <v>810</v>
      </c>
      <c r="C427" s="196" t="s">
        <v>49</v>
      </c>
      <c r="D427" s="197">
        <v>2</v>
      </c>
      <c r="E427" s="255">
        <f>89200*K1</f>
        <v>93448.50679999999</v>
      </c>
      <c r="F427" s="255">
        <f>1250*K1</f>
        <v>1309.5362499999999</v>
      </c>
      <c r="G427" s="255">
        <f>F427+E427</f>
        <v>94758.04305</v>
      </c>
      <c r="H427" s="255">
        <f t="shared" si="60"/>
        <v>186897.01359999998</v>
      </c>
      <c r="I427" s="255">
        <f t="shared" si="61"/>
        <v>2619.0724999999998</v>
      </c>
      <c r="J427" s="255">
        <f t="shared" si="62"/>
        <v>189516.0861</v>
      </c>
      <c r="L427" s="9"/>
      <c r="N427" s="254"/>
    </row>
    <row r="428" spans="1:14" ht="48">
      <c r="A428" s="78" t="s">
        <v>816</v>
      </c>
      <c r="B428" s="195" t="s">
        <v>811</v>
      </c>
      <c r="C428" s="196" t="s">
        <v>49</v>
      </c>
      <c r="D428" s="197">
        <v>1</v>
      </c>
      <c r="E428" s="255">
        <f>101450*K1</f>
        <v>106281.96204999999</v>
      </c>
      <c r="F428" s="255">
        <f>1250*K1</f>
        <v>1309.5362499999999</v>
      </c>
      <c r="G428" s="255">
        <f>F428+E428</f>
        <v>107591.49829999999</v>
      </c>
      <c r="H428" s="255">
        <f t="shared" si="60"/>
        <v>106281.96204999999</v>
      </c>
      <c r="I428" s="255">
        <f t="shared" si="61"/>
        <v>1309.5362499999999</v>
      </c>
      <c r="J428" s="255">
        <f t="shared" si="62"/>
        <v>107591.49829999999</v>
      </c>
      <c r="L428" s="9"/>
      <c r="N428" s="254"/>
    </row>
    <row r="429" spans="1:14" ht="48">
      <c r="A429" s="78" t="s">
        <v>817</v>
      </c>
      <c r="B429" s="195" t="s">
        <v>812</v>
      </c>
      <c r="C429" s="196" t="s">
        <v>49</v>
      </c>
      <c r="D429" s="197">
        <v>2</v>
      </c>
      <c r="E429" s="255">
        <f>98540*K1</f>
        <v>103233.36166</v>
      </c>
      <c r="F429" s="255">
        <f>1100*K1</f>
        <v>1152.3918999999999</v>
      </c>
      <c r="G429" s="255">
        <f>F429+E429</f>
        <v>104385.75356</v>
      </c>
      <c r="H429" s="255">
        <f t="shared" si="60"/>
        <v>206466.72332</v>
      </c>
      <c r="I429" s="255">
        <f t="shared" si="61"/>
        <v>2304.7837999999997</v>
      </c>
      <c r="J429" s="255">
        <f t="shared" si="62"/>
        <v>208771.50712</v>
      </c>
      <c r="L429" s="9"/>
      <c r="N429" s="254"/>
    </row>
    <row r="430" spans="1:14" ht="36">
      <c r="A430" s="78" t="s">
        <v>818</v>
      </c>
      <c r="B430" s="195" t="s">
        <v>813</v>
      </c>
      <c r="C430" s="196" t="s">
        <v>49</v>
      </c>
      <c r="D430" s="197">
        <v>2</v>
      </c>
      <c r="E430" s="255">
        <f>108560*K1</f>
        <v>113730.60423999999</v>
      </c>
      <c r="F430" s="255">
        <f>1100*K1</f>
        <v>1152.3918999999999</v>
      </c>
      <c r="G430" s="255">
        <f>F430+E430</f>
        <v>114882.99613999999</v>
      </c>
      <c r="H430" s="255">
        <f t="shared" si="60"/>
        <v>227461.20847999997</v>
      </c>
      <c r="I430" s="255">
        <f t="shared" si="61"/>
        <v>2304.7837999999997</v>
      </c>
      <c r="J430" s="255">
        <f t="shared" si="62"/>
        <v>229765.99227999998</v>
      </c>
      <c r="L430" s="9"/>
      <c r="N430" s="254"/>
    </row>
    <row r="431" spans="1:14" ht="12.75">
      <c r="A431" s="155" t="s">
        <v>814</v>
      </c>
      <c r="B431" s="153" t="s">
        <v>819</v>
      </c>
      <c r="C431" s="80"/>
      <c r="D431" s="199"/>
      <c r="E431" s="199"/>
      <c r="F431" s="199"/>
      <c r="G431" s="199"/>
      <c r="H431" s="199"/>
      <c r="I431" s="199"/>
      <c r="J431" s="199"/>
      <c r="L431" s="9"/>
      <c r="N431" s="254"/>
    </row>
    <row r="432" spans="1:14" ht="12.75">
      <c r="A432" s="78" t="s">
        <v>815</v>
      </c>
      <c r="B432" s="195" t="s">
        <v>820</v>
      </c>
      <c r="C432" s="196" t="s">
        <v>471</v>
      </c>
      <c r="D432" s="197">
        <v>2</v>
      </c>
      <c r="E432" s="255">
        <f>49.5*K1</f>
        <v>51.857635499999994</v>
      </c>
      <c r="F432" s="255">
        <f>15.5*K1</f>
        <v>16.2382495</v>
      </c>
      <c r="G432" s="255">
        <f>F432+E432</f>
        <v>68.095885</v>
      </c>
      <c r="H432" s="255">
        <f t="shared" si="60"/>
        <v>103.71527099999999</v>
      </c>
      <c r="I432" s="255">
        <f t="shared" si="61"/>
        <v>32.476499</v>
      </c>
      <c r="J432" s="255">
        <f t="shared" si="62"/>
        <v>136.19177</v>
      </c>
      <c r="L432" s="9"/>
      <c r="N432" s="254"/>
    </row>
    <row r="433" spans="1:14" ht="12.75">
      <c r="A433" s="78" t="s">
        <v>854</v>
      </c>
      <c r="B433" s="195" t="s">
        <v>821</v>
      </c>
      <c r="C433" s="196" t="s">
        <v>471</v>
      </c>
      <c r="D433" s="197">
        <v>6</v>
      </c>
      <c r="E433" s="255">
        <f>53*K1</f>
        <v>55.524336999999996</v>
      </c>
      <c r="F433" s="255">
        <f>18.6*K1</f>
        <v>19.4858994</v>
      </c>
      <c r="G433" s="255">
        <f aca="true" t="shared" si="66" ref="G433:G465">F433+E433</f>
        <v>75.0102364</v>
      </c>
      <c r="H433" s="255">
        <f t="shared" si="60"/>
        <v>333.14602199999996</v>
      </c>
      <c r="I433" s="255">
        <f t="shared" si="61"/>
        <v>116.9153964</v>
      </c>
      <c r="J433" s="255">
        <f t="shared" si="62"/>
        <v>450.0614184</v>
      </c>
      <c r="L433" s="9"/>
      <c r="N433" s="254"/>
    </row>
    <row r="434" spans="1:14" ht="12.75">
      <c r="A434" s="78" t="s">
        <v>855</v>
      </c>
      <c r="B434" s="195" t="s">
        <v>822</v>
      </c>
      <c r="C434" s="196" t="s">
        <v>471</v>
      </c>
      <c r="D434" s="197">
        <v>2</v>
      </c>
      <c r="E434" s="255">
        <f>67.2*K1</f>
        <v>70.40066879999999</v>
      </c>
      <c r="F434" s="255">
        <f>22*K1</f>
        <v>23.047838</v>
      </c>
      <c r="G434" s="255">
        <f t="shared" si="66"/>
        <v>93.44850679999999</v>
      </c>
      <c r="H434" s="255">
        <f t="shared" si="60"/>
        <v>140.80133759999998</v>
      </c>
      <c r="I434" s="255">
        <f t="shared" si="61"/>
        <v>46.095676</v>
      </c>
      <c r="J434" s="255">
        <f t="shared" si="62"/>
        <v>186.89701359999998</v>
      </c>
      <c r="L434" s="9"/>
      <c r="N434" s="254"/>
    </row>
    <row r="435" spans="1:14" ht="12.75">
      <c r="A435" s="78" t="s">
        <v>856</v>
      </c>
      <c r="B435" s="195" t="s">
        <v>823</v>
      </c>
      <c r="C435" s="196" t="s">
        <v>471</v>
      </c>
      <c r="D435" s="197">
        <v>8</v>
      </c>
      <c r="E435" s="255">
        <f>4.32*K1</f>
        <v>4.52575728</v>
      </c>
      <c r="F435" s="255">
        <f>10.2*K1</f>
        <v>10.685815799999999</v>
      </c>
      <c r="G435" s="255">
        <f t="shared" si="66"/>
        <v>15.211573079999997</v>
      </c>
      <c r="H435" s="255">
        <f t="shared" si="60"/>
        <v>36.20605824</v>
      </c>
      <c r="I435" s="255">
        <f t="shared" si="61"/>
        <v>85.48652639999999</v>
      </c>
      <c r="J435" s="255">
        <f t="shared" si="62"/>
        <v>121.69258463999998</v>
      </c>
      <c r="L435" s="9"/>
      <c r="N435" s="254"/>
    </row>
    <row r="436" spans="1:14" ht="12.75">
      <c r="A436" s="78" t="s">
        <v>857</v>
      </c>
      <c r="B436" s="195" t="s">
        <v>824</v>
      </c>
      <c r="C436" s="196" t="s">
        <v>471</v>
      </c>
      <c r="D436" s="197">
        <v>8</v>
      </c>
      <c r="E436" s="255">
        <f>4.2*K1</f>
        <v>4.4000417999999994</v>
      </c>
      <c r="F436" s="255">
        <f>10.2*K1</f>
        <v>10.685815799999999</v>
      </c>
      <c r="G436" s="255">
        <f t="shared" si="66"/>
        <v>15.085857599999997</v>
      </c>
      <c r="H436" s="255">
        <f aca="true" t="shared" si="67" ref="H436:H447">D436*E436</f>
        <v>35.200334399999996</v>
      </c>
      <c r="I436" s="255">
        <f aca="true" t="shared" si="68" ref="I436:I447">D436*F436</f>
        <v>85.48652639999999</v>
      </c>
      <c r="J436" s="255">
        <f aca="true" t="shared" si="69" ref="J436:J447">I436+H436</f>
        <v>120.68686079999998</v>
      </c>
      <c r="L436" s="9"/>
      <c r="N436" s="254"/>
    </row>
    <row r="437" spans="1:14" ht="12.75">
      <c r="A437" s="78" t="s">
        <v>858</v>
      </c>
      <c r="B437" s="195" t="s">
        <v>825</v>
      </c>
      <c r="C437" s="196" t="s">
        <v>471</v>
      </c>
      <c r="D437" s="197">
        <v>16</v>
      </c>
      <c r="E437" s="255">
        <f>8.98*K1</f>
        <v>9.40770842</v>
      </c>
      <c r="F437" s="255">
        <f>10.2*K1</f>
        <v>10.685815799999999</v>
      </c>
      <c r="G437" s="255">
        <f t="shared" si="66"/>
        <v>20.09352422</v>
      </c>
      <c r="H437" s="255">
        <f t="shared" si="67"/>
        <v>150.52333472</v>
      </c>
      <c r="I437" s="255">
        <f t="shared" si="68"/>
        <v>170.97305279999998</v>
      </c>
      <c r="J437" s="255">
        <f t="shared" si="69"/>
        <v>321.49638752</v>
      </c>
      <c r="L437" s="9"/>
      <c r="N437" s="254"/>
    </row>
    <row r="438" spans="1:14" ht="12.75">
      <c r="A438" s="78" t="s">
        <v>859</v>
      </c>
      <c r="B438" s="195" t="s">
        <v>826</v>
      </c>
      <c r="C438" s="196" t="s">
        <v>471</v>
      </c>
      <c r="D438" s="197">
        <v>44</v>
      </c>
      <c r="E438" s="255">
        <f>7.65*K1</f>
        <v>8.01436185</v>
      </c>
      <c r="F438" s="255">
        <f>10.2*K1</f>
        <v>10.685815799999999</v>
      </c>
      <c r="G438" s="255">
        <f t="shared" si="66"/>
        <v>18.70017765</v>
      </c>
      <c r="H438" s="255">
        <f t="shared" si="67"/>
        <v>352.6319214</v>
      </c>
      <c r="I438" s="255">
        <f t="shared" si="68"/>
        <v>470.17589519999996</v>
      </c>
      <c r="J438" s="255">
        <f t="shared" si="69"/>
        <v>822.8078166</v>
      </c>
      <c r="L438" s="9"/>
      <c r="N438" s="254"/>
    </row>
    <row r="439" spans="1:14" ht="12.75">
      <c r="A439" s="78" t="s">
        <v>860</v>
      </c>
      <c r="B439" s="195" t="s">
        <v>827</v>
      </c>
      <c r="C439" s="196" t="s">
        <v>471</v>
      </c>
      <c r="D439" s="197">
        <v>44</v>
      </c>
      <c r="E439" s="255">
        <f>10.5*K1</f>
        <v>11.000104499999999</v>
      </c>
      <c r="F439" s="255">
        <f>10.2*K1</f>
        <v>10.685815799999999</v>
      </c>
      <c r="G439" s="255">
        <f t="shared" si="66"/>
        <v>21.6859203</v>
      </c>
      <c r="H439" s="255">
        <f t="shared" si="67"/>
        <v>484.004598</v>
      </c>
      <c r="I439" s="255">
        <f t="shared" si="68"/>
        <v>470.17589519999996</v>
      </c>
      <c r="J439" s="255">
        <f t="shared" si="69"/>
        <v>954.1804932</v>
      </c>
      <c r="L439" s="9"/>
      <c r="N439" s="254"/>
    </row>
    <row r="440" spans="1:14" ht="12.75">
      <c r="A440" s="78" t="s">
        <v>861</v>
      </c>
      <c r="B440" s="195" t="s">
        <v>828</v>
      </c>
      <c r="C440" s="196" t="s">
        <v>471</v>
      </c>
      <c r="D440" s="197">
        <v>34</v>
      </c>
      <c r="E440" s="255">
        <f>13.6*K1</f>
        <v>14.247754399999998</v>
      </c>
      <c r="F440" s="255">
        <f>10.2*K1</f>
        <v>10.685815799999999</v>
      </c>
      <c r="G440" s="255">
        <f t="shared" si="66"/>
        <v>24.9335702</v>
      </c>
      <c r="H440" s="255">
        <f t="shared" si="67"/>
        <v>484.4236495999999</v>
      </c>
      <c r="I440" s="255">
        <f t="shared" si="68"/>
        <v>363.31773719999995</v>
      </c>
      <c r="J440" s="255">
        <f t="shared" si="69"/>
        <v>847.7413867999999</v>
      </c>
      <c r="L440" s="9"/>
      <c r="N440" s="254"/>
    </row>
    <row r="441" spans="1:14" ht="12.75">
      <c r="A441" s="78" t="s">
        <v>862</v>
      </c>
      <c r="B441" s="195" t="s">
        <v>829</v>
      </c>
      <c r="C441" s="196" t="s">
        <v>471</v>
      </c>
      <c r="D441" s="197">
        <v>8</v>
      </c>
      <c r="E441" s="255">
        <f>8.9*K1</f>
        <v>9.3238981</v>
      </c>
      <c r="F441" s="255">
        <f>10.2*K1</f>
        <v>10.685815799999999</v>
      </c>
      <c r="G441" s="255">
        <f t="shared" si="66"/>
        <v>20.009713899999998</v>
      </c>
      <c r="H441" s="255">
        <f t="shared" si="67"/>
        <v>74.5911848</v>
      </c>
      <c r="I441" s="255">
        <f t="shared" si="68"/>
        <v>85.48652639999999</v>
      </c>
      <c r="J441" s="255">
        <f t="shared" si="69"/>
        <v>160.07771119999998</v>
      </c>
      <c r="L441" s="9"/>
      <c r="N441" s="254"/>
    </row>
    <row r="442" spans="1:14" ht="12.75">
      <c r="A442" s="78" t="s">
        <v>863</v>
      </c>
      <c r="B442" s="195" t="s">
        <v>830</v>
      </c>
      <c r="C442" s="196" t="s">
        <v>471</v>
      </c>
      <c r="D442" s="197">
        <v>8</v>
      </c>
      <c r="E442" s="255">
        <f>9.9*K1</f>
        <v>10.3715271</v>
      </c>
      <c r="F442" s="255">
        <f>10.2*K1</f>
        <v>10.685815799999999</v>
      </c>
      <c r="G442" s="255">
        <f t="shared" si="66"/>
        <v>21.0573429</v>
      </c>
      <c r="H442" s="255">
        <f t="shared" si="67"/>
        <v>82.9722168</v>
      </c>
      <c r="I442" s="255">
        <f t="shared" si="68"/>
        <v>85.48652639999999</v>
      </c>
      <c r="J442" s="255">
        <f t="shared" si="69"/>
        <v>168.4587432</v>
      </c>
      <c r="L442" s="9"/>
      <c r="N442" s="254"/>
    </row>
    <row r="443" spans="1:14" ht="12.75">
      <c r="A443" s="78" t="s">
        <v>864</v>
      </c>
      <c r="B443" s="195" t="s">
        <v>831</v>
      </c>
      <c r="C443" s="196" t="s">
        <v>471</v>
      </c>
      <c r="D443" s="197">
        <v>60</v>
      </c>
      <c r="E443" s="255">
        <f>15.88*K1</f>
        <v>16.63634852</v>
      </c>
      <c r="F443" s="255">
        <f>10.2*K1</f>
        <v>10.685815799999999</v>
      </c>
      <c r="G443" s="255">
        <f t="shared" si="66"/>
        <v>27.32216432</v>
      </c>
      <c r="H443" s="255">
        <f t="shared" si="67"/>
        <v>998.1809111999999</v>
      </c>
      <c r="I443" s="255">
        <f t="shared" si="68"/>
        <v>641.1489479999999</v>
      </c>
      <c r="J443" s="255">
        <f t="shared" si="69"/>
        <v>1639.3298591999996</v>
      </c>
      <c r="L443" s="9"/>
      <c r="N443" s="254"/>
    </row>
    <row r="444" spans="1:14" ht="12.75">
      <c r="A444" s="78" t="s">
        <v>865</v>
      </c>
      <c r="B444" s="195" t="s">
        <v>832</v>
      </c>
      <c r="C444" s="196" t="s">
        <v>471</v>
      </c>
      <c r="D444" s="197">
        <v>76</v>
      </c>
      <c r="E444" s="255">
        <f>18.7*K1</f>
        <v>19.590662299999998</v>
      </c>
      <c r="F444" s="255">
        <f>10.2*K1</f>
        <v>10.685815799999999</v>
      </c>
      <c r="G444" s="255">
        <f t="shared" si="66"/>
        <v>30.2764781</v>
      </c>
      <c r="H444" s="255">
        <f t="shared" si="67"/>
        <v>1488.8903348</v>
      </c>
      <c r="I444" s="255">
        <f t="shared" si="68"/>
        <v>812.1220007999999</v>
      </c>
      <c r="J444" s="255">
        <f t="shared" si="69"/>
        <v>2301.0123356</v>
      </c>
      <c r="L444" s="9"/>
      <c r="N444" s="254"/>
    </row>
    <row r="445" spans="1:14" ht="12.75">
      <c r="A445" s="78" t="s">
        <v>866</v>
      </c>
      <c r="B445" s="195" t="s">
        <v>833</v>
      </c>
      <c r="C445" s="196" t="s">
        <v>471</v>
      </c>
      <c r="D445" s="197">
        <v>8</v>
      </c>
      <c r="E445" s="255">
        <f>15.8*K1</f>
        <v>16.5525382</v>
      </c>
      <c r="F445" s="255">
        <f>10.2*K1</f>
        <v>10.685815799999999</v>
      </c>
      <c r="G445" s="255">
        <f t="shared" si="66"/>
        <v>27.238354</v>
      </c>
      <c r="H445" s="255">
        <f t="shared" si="67"/>
        <v>132.4203056</v>
      </c>
      <c r="I445" s="255">
        <f t="shared" si="68"/>
        <v>85.48652639999999</v>
      </c>
      <c r="J445" s="255">
        <f t="shared" si="69"/>
        <v>217.906832</v>
      </c>
      <c r="L445" s="9"/>
      <c r="N445" s="254"/>
    </row>
    <row r="446" spans="1:14" ht="12.75">
      <c r="A446" s="78" t="s">
        <v>867</v>
      </c>
      <c r="B446" s="195" t="s">
        <v>834</v>
      </c>
      <c r="C446" s="196" t="s">
        <v>471</v>
      </c>
      <c r="D446" s="197">
        <v>60</v>
      </c>
      <c r="E446" s="255">
        <f>23.4*K1</f>
        <v>24.514518599999995</v>
      </c>
      <c r="F446" s="255">
        <f>10.2*K1</f>
        <v>10.685815799999999</v>
      </c>
      <c r="G446" s="255">
        <f t="shared" si="66"/>
        <v>35.200334399999996</v>
      </c>
      <c r="H446" s="255">
        <f t="shared" si="67"/>
        <v>1470.8711159999998</v>
      </c>
      <c r="I446" s="255">
        <f t="shared" si="68"/>
        <v>641.1489479999999</v>
      </c>
      <c r="J446" s="255">
        <f t="shared" si="69"/>
        <v>2112.020064</v>
      </c>
      <c r="L446" s="9"/>
      <c r="N446" s="254"/>
    </row>
    <row r="447" spans="1:14" ht="12.75">
      <c r="A447" s="78" t="s">
        <v>868</v>
      </c>
      <c r="B447" s="195" t="s">
        <v>835</v>
      </c>
      <c r="C447" s="196" t="s">
        <v>471</v>
      </c>
      <c r="D447" s="197">
        <v>2</v>
      </c>
      <c r="E447" s="255">
        <f>14.4*K1</f>
        <v>15.085857599999999</v>
      </c>
      <c r="F447" s="255">
        <f>10.2*K1</f>
        <v>10.685815799999999</v>
      </c>
      <c r="G447" s="255">
        <f t="shared" si="66"/>
        <v>25.771673399999997</v>
      </c>
      <c r="H447" s="255">
        <f t="shared" si="67"/>
        <v>30.171715199999998</v>
      </c>
      <c r="I447" s="255">
        <f t="shared" si="68"/>
        <v>21.371631599999997</v>
      </c>
      <c r="J447" s="255">
        <f t="shared" si="69"/>
        <v>51.543346799999995</v>
      </c>
      <c r="L447" s="9"/>
      <c r="N447" s="254"/>
    </row>
    <row r="448" spans="1:14" ht="12.75">
      <c r="A448" s="78" t="s">
        <v>869</v>
      </c>
      <c r="B448" s="195" t="s">
        <v>836</v>
      </c>
      <c r="C448" s="196" t="s">
        <v>471</v>
      </c>
      <c r="D448" s="197">
        <v>22</v>
      </c>
      <c r="E448" s="255">
        <f>17.1*K1</f>
        <v>17.9144559</v>
      </c>
      <c r="F448" s="255">
        <f>10.2*K1</f>
        <v>10.685815799999999</v>
      </c>
      <c r="G448" s="255">
        <f t="shared" si="66"/>
        <v>28.6002717</v>
      </c>
      <c r="H448" s="255">
        <f aca="true" t="shared" si="70" ref="H448:H465">D448*E448</f>
        <v>394.1180298</v>
      </c>
      <c r="I448" s="255">
        <f aca="true" t="shared" si="71" ref="I448:I465">D448*F448</f>
        <v>235.08794759999998</v>
      </c>
      <c r="J448" s="255">
        <f aca="true" t="shared" si="72" ref="J448:J465">I448+H448</f>
        <v>629.2059773999999</v>
      </c>
      <c r="L448" s="9"/>
      <c r="N448" s="254"/>
    </row>
    <row r="449" spans="1:14" ht="12.75">
      <c r="A449" s="78" t="s">
        <v>870</v>
      </c>
      <c r="B449" s="195" t="s">
        <v>837</v>
      </c>
      <c r="C449" s="196" t="s">
        <v>471</v>
      </c>
      <c r="D449" s="197">
        <v>2</v>
      </c>
      <c r="E449" s="255">
        <f>11.5*K1</f>
        <v>12.0477335</v>
      </c>
      <c r="F449" s="255">
        <f>10.2*K1</f>
        <v>10.685815799999999</v>
      </c>
      <c r="G449" s="255">
        <f t="shared" si="66"/>
        <v>22.7335493</v>
      </c>
      <c r="H449" s="255">
        <f t="shared" si="70"/>
        <v>24.095467</v>
      </c>
      <c r="I449" s="255">
        <f t="shared" si="71"/>
        <v>21.371631599999997</v>
      </c>
      <c r="J449" s="255">
        <f t="shared" si="72"/>
        <v>45.4670986</v>
      </c>
      <c r="L449" s="9"/>
      <c r="N449" s="254"/>
    </row>
    <row r="450" spans="1:14" ht="12.75">
      <c r="A450" s="78" t="s">
        <v>871</v>
      </c>
      <c r="B450" s="195" t="s">
        <v>838</v>
      </c>
      <c r="C450" s="196" t="s">
        <v>471</v>
      </c>
      <c r="D450" s="197">
        <v>2</v>
      </c>
      <c r="E450" s="255">
        <f>26.8*K1</f>
        <v>28.0764572</v>
      </c>
      <c r="F450" s="255">
        <f>10.2*K1</f>
        <v>10.685815799999999</v>
      </c>
      <c r="G450" s="255">
        <f>F450+E450</f>
        <v>38.762273</v>
      </c>
      <c r="H450" s="255">
        <f t="shared" si="70"/>
        <v>56.1529144</v>
      </c>
      <c r="I450" s="255">
        <f t="shared" si="71"/>
        <v>21.371631599999997</v>
      </c>
      <c r="J450" s="255">
        <f t="shared" si="72"/>
        <v>77.524546</v>
      </c>
      <c r="L450" s="9"/>
      <c r="N450" s="254"/>
    </row>
    <row r="451" spans="1:14" ht="12.75">
      <c r="A451" s="78" t="s">
        <v>872</v>
      </c>
      <c r="B451" s="195" t="s">
        <v>839</v>
      </c>
      <c r="C451" s="196" t="s">
        <v>471</v>
      </c>
      <c r="D451" s="197">
        <v>2</v>
      </c>
      <c r="E451" s="255">
        <f>13.5*K1</f>
        <v>14.142991499999999</v>
      </c>
      <c r="F451" s="255">
        <f>10.2*K1</f>
        <v>10.685815799999999</v>
      </c>
      <c r="G451" s="255">
        <f>F451+E451</f>
        <v>24.828807299999998</v>
      </c>
      <c r="H451" s="255">
        <f t="shared" si="70"/>
        <v>28.285982999999998</v>
      </c>
      <c r="I451" s="255">
        <f t="shared" si="71"/>
        <v>21.371631599999997</v>
      </c>
      <c r="J451" s="255">
        <f t="shared" si="72"/>
        <v>49.657614599999995</v>
      </c>
      <c r="L451" s="9"/>
      <c r="N451" s="254"/>
    </row>
    <row r="452" spans="1:14" ht="12.75">
      <c r="A452" s="78" t="s">
        <v>873</v>
      </c>
      <c r="B452" s="195" t="s">
        <v>840</v>
      </c>
      <c r="C452" s="196" t="s">
        <v>471</v>
      </c>
      <c r="D452" s="197">
        <v>2</v>
      </c>
      <c r="E452" s="255">
        <f>19.7*K1</f>
        <v>20.6382913</v>
      </c>
      <c r="F452" s="255">
        <f>10.2*K1</f>
        <v>10.685815799999999</v>
      </c>
      <c r="G452" s="255">
        <f t="shared" si="66"/>
        <v>31.3241071</v>
      </c>
      <c r="H452" s="255">
        <f t="shared" si="70"/>
        <v>41.2765826</v>
      </c>
      <c r="I452" s="255">
        <f t="shared" si="71"/>
        <v>21.371631599999997</v>
      </c>
      <c r="J452" s="255">
        <f t="shared" si="72"/>
        <v>62.6482142</v>
      </c>
      <c r="L452" s="9"/>
      <c r="N452" s="254"/>
    </row>
    <row r="453" spans="1:14" ht="12.75">
      <c r="A453" s="78" t="s">
        <v>874</v>
      </c>
      <c r="B453" s="195" t="s">
        <v>841</v>
      </c>
      <c r="C453" s="196" t="s">
        <v>471</v>
      </c>
      <c r="D453" s="197">
        <v>2</v>
      </c>
      <c r="E453" s="255">
        <f>26.7*K1</f>
        <v>27.971694299999996</v>
      </c>
      <c r="F453" s="255">
        <f>10.2*K1</f>
        <v>10.685815799999999</v>
      </c>
      <c r="G453" s="255">
        <f t="shared" si="66"/>
        <v>38.657510099999996</v>
      </c>
      <c r="H453" s="255">
        <f t="shared" si="70"/>
        <v>55.94338859999999</v>
      </c>
      <c r="I453" s="255">
        <f t="shared" si="71"/>
        <v>21.371631599999997</v>
      </c>
      <c r="J453" s="255">
        <f t="shared" si="72"/>
        <v>77.31502019999999</v>
      </c>
      <c r="L453" s="9"/>
      <c r="N453" s="254"/>
    </row>
    <row r="454" spans="1:14" ht="12.75">
      <c r="A454" s="78" t="s">
        <v>875</v>
      </c>
      <c r="B454" s="195" t="s">
        <v>842</v>
      </c>
      <c r="C454" s="196" t="s">
        <v>471</v>
      </c>
      <c r="D454" s="197">
        <v>175</v>
      </c>
      <c r="E454" s="255">
        <f>4.6*K1</f>
        <v>4.819093399999999</v>
      </c>
      <c r="F454" s="255">
        <f>10.2*K1</f>
        <v>10.685815799999999</v>
      </c>
      <c r="G454" s="255">
        <f>F454+E454</f>
        <v>15.504909199999997</v>
      </c>
      <c r="H454" s="255">
        <f t="shared" si="70"/>
        <v>843.3413449999998</v>
      </c>
      <c r="I454" s="255">
        <f t="shared" si="71"/>
        <v>1870.0177649999998</v>
      </c>
      <c r="J454" s="255">
        <f t="shared" si="72"/>
        <v>2713.3591099999994</v>
      </c>
      <c r="L454" s="9"/>
      <c r="N454" s="254"/>
    </row>
    <row r="455" spans="1:14" ht="12.75">
      <c r="A455" s="78" t="s">
        <v>876</v>
      </c>
      <c r="B455" s="195" t="s">
        <v>843</v>
      </c>
      <c r="C455" s="196" t="s">
        <v>471</v>
      </c>
      <c r="D455" s="197">
        <v>175</v>
      </c>
      <c r="E455" s="255">
        <f>7.98*K1</f>
        <v>8.36007942</v>
      </c>
      <c r="F455" s="255">
        <f>10.2*K1</f>
        <v>10.685815799999999</v>
      </c>
      <c r="G455" s="255">
        <f t="shared" si="66"/>
        <v>19.04589522</v>
      </c>
      <c r="H455" s="255">
        <f t="shared" si="70"/>
        <v>1463.0138985</v>
      </c>
      <c r="I455" s="255">
        <f t="shared" si="71"/>
        <v>1870.0177649999998</v>
      </c>
      <c r="J455" s="255">
        <f t="shared" si="72"/>
        <v>3333.0316635</v>
      </c>
      <c r="L455" s="9"/>
      <c r="N455" s="254"/>
    </row>
    <row r="456" spans="1:14" ht="12.75">
      <c r="A456" s="78" t="s">
        <v>877</v>
      </c>
      <c r="B456" s="195" t="s">
        <v>844</v>
      </c>
      <c r="C456" s="196" t="s">
        <v>471</v>
      </c>
      <c r="D456" s="197">
        <v>4</v>
      </c>
      <c r="E456" s="255">
        <f>8.7*K1</f>
        <v>9.1143723</v>
      </c>
      <c r="F456" s="255">
        <f>10.2*K1</f>
        <v>10.685815799999999</v>
      </c>
      <c r="G456" s="255">
        <f t="shared" si="66"/>
        <v>19.8001881</v>
      </c>
      <c r="H456" s="255">
        <f t="shared" si="70"/>
        <v>36.4574892</v>
      </c>
      <c r="I456" s="255">
        <f t="shared" si="71"/>
        <v>42.743263199999994</v>
      </c>
      <c r="J456" s="255">
        <f t="shared" si="72"/>
        <v>79.2007524</v>
      </c>
      <c r="L456" s="9"/>
      <c r="N456" s="254"/>
    </row>
    <row r="457" spans="1:14" ht="12.75">
      <c r="A457" s="78" t="s">
        <v>878</v>
      </c>
      <c r="B457" s="195" t="s">
        <v>845</v>
      </c>
      <c r="C457" s="196" t="s">
        <v>471</v>
      </c>
      <c r="D457" s="197">
        <v>4</v>
      </c>
      <c r="E457" s="255">
        <f>3.4*K1</f>
        <v>3.5619385999999995</v>
      </c>
      <c r="F457" s="255">
        <f>10.2*K1</f>
        <v>10.685815799999999</v>
      </c>
      <c r="G457" s="255">
        <f t="shared" si="66"/>
        <v>14.247754399999998</v>
      </c>
      <c r="H457" s="255">
        <f t="shared" si="70"/>
        <v>14.247754399999998</v>
      </c>
      <c r="I457" s="255">
        <f t="shared" si="71"/>
        <v>42.743263199999994</v>
      </c>
      <c r="J457" s="255">
        <f t="shared" si="72"/>
        <v>56.99101759999999</v>
      </c>
      <c r="L457" s="9"/>
      <c r="N457" s="254"/>
    </row>
    <row r="458" spans="1:14" ht="12.75">
      <c r="A458" s="78" t="s">
        <v>879</v>
      </c>
      <c r="B458" s="195" t="s">
        <v>846</v>
      </c>
      <c r="C458" s="196" t="s">
        <v>471</v>
      </c>
      <c r="D458" s="197">
        <v>6</v>
      </c>
      <c r="E458" s="255">
        <f>15.5*K1</f>
        <v>16.2382495</v>
      </c>
      <c r="F458" s="255">
        <f>10.2*K1</f>
        <v>10.685815799999999</v>
      </c>
      <c r="G458" s="255">
        <f t="shared" si="66"/>
        <v>26.924065299999995</v>
      </c>
      <c r="H458" s="255">
        <f t="shared" si="70"/>
        <v>97.429497</v>
      </c>
      <c r="I458" s="255">
        <f t="shared" si="71"/>
        <v>64.11489479999999</v>
      </c>
      <c r="J458" s="255">
        <f t="shared" si="72"/>
        <v>161.54439179999997</v>
      </c>
      <c r="L458" s="9"/>
      <c r="N458" s="254"/>
    </row>
    <row r="459" spans="1:14" ht="12.75">
      <c r="A459" s="78" t="s">
        <v>880</v>
      </c>
      <c r="B459" s="195" t="s">
        <v>847</v>
      </c>
      <c r="C459" s="196" t="s">
        <v>81</v>
      </c>
      <c r="D459" s="197">
        <v>505</v>
      </c>
      <c r="E459" s="255">
        <f>14.12*K1</f>
        <v>14.792521479999998</v>
      </c>
      <c r="F459" s="255">
        <f>8.5*K1</f>
        <v>8.9048465</v>
      </c>
      <c r="G459" s="255">
        <f t="shared" si="66"/>
        <v>23.697367979999996</v>
      </c>
      <c r="H459" s="255">
        <f t="shared" si="70"/>
        <v>7470.223347399999</v>
      </c>
      <c r="I459" s="255">
        <f t="shared" si="71"/>
        <v>4496.9474825</v>
      </c>
      <c r="J459" s="255">
        <f t="shared" si="72"/>
        <v>11967.170829899998</v>
      </c>
      <c r="L459" s="9"/>
      <c r="N459" s="254"/>
    </row>
    <row r="460" spans="1:14" ht="12.75">
      <c r="A460" s="78" t="s">
        <v>881</v>
      </c>
      <c r="B460" s="195" t="s">
        <v>848</v>
      </c>
      <c r="C460" s="196" t="s">
        <v>81</v>
      </c>
      <c r="D460" s="197">
        <v>551</v>
      </c>
      <c r="E460" s="255">
        <f>22.66*K1</f>
        <v>23.739273139999998</v>
      </c>
      <c r="F460" s="255">
        <f>14.14*K1</f>
        <v>14.813474059999999</v>
      </c>
      <c r="G460" s="255">
        <f t="shared" si="66"/>
        <v>38.5527472</v>
      </c>
      <c r="H460" s="255">
        <f t="shared" si="70"/>
        <v>13080.339500139999</v>
      </c>
      <c r="I460" s="255">
        <f t="shared" si="71"/>
        <v>8162.22420706</v>
      </c>
      <c r="J460" s="255">
        <f t="shared" si="72"/>
        <v>21242.5637072</v>
      </c>
      <c r="L460" s="9"/>
      <c r="N460" s="254"/>
    </row>
    <row r="461" spans="1:14" ht="12.75">
      <c r="A461" s="78" t="s">
        <v>882</v>
      </c>
      <c r="B461" s="195" t="s">
        <v>849</v>
      </c>
      <c r="C461" s="196" t="s">
        <v>81</v>
      </c>
      <c r="D461" s="197">
        <v>133</v>
      </c>
      <c r="E461" s="255">
        <f>28.81*K1</f>
        <v>30.182191489999997</v>
      </c>
      <c r="F461" s="255">
        <f>21.6*K1</f>
        <v>22.6287864</v>
      </c>
      <c r="G461" s="255">
        <f>F461+E461</f>
        <v>52.81097789</v>
      </c>
      <c r="H461" s="255">
        <f t="shared" si="70"/>
        <v>4014.2314681699995</v>
      </c>
      <c r="I461" s="255">
        <f t="shared" si="71"/>
        <v>3009.6285912</v>
      </c>
      <c r="J461" s="255">
        <f t="shared" si="72"/>
        <v>7023.860059369999</v>
      </c>
      <c r="L461" s="9"/>
      <c r="N461" s="254"/>
    </row>
    <row r="462" spans="1:14" ht="12.75">
      <c r="A462" s="78" t="s">
        <v>883</v>
      </c>
      <c r="B462" s="195" t="s">
        <v>850</v>
      </c>
      <c r="C462" s="196" t="s">
        <v>81</v>
      </c>
      <c r="D462" s="197">
        <v>170</v>
      </c>
      <c r="E462" s="255">
        <f>52.44*K1</f>
        <v>54.93766476</v>
      </c>
      <c r="F462" s="255">
        <f>21.6*K1</f>
        <v>22.6287864</v>
      </c>
      <c r="G462" s="255">
        <f t="shared" si="66"/>
        <v>77.56645116</v>
      </c>
      <c r="H462" s="255">
        <f t="shared" si="70"/>
        <v>9339.4030092</v>
      </c>
      <c r="I462" s="255">
        <f t="shared" si="71"/>
        <v>3846.8936879999997</v>
      </c>
      <c r="J462" s="255">
        <f t="shared" si="72"/>
        <v>13186.2966972</v>
      </c>
      <c r="L462" s="9"/>
      <c r="N462" s="254"/>
    </row>
    <row r="463" spans="1:14" ht="12.75">
      <c r="A463" s="78" t="s">
        <v>884</v>
      </c>
      <c r="B463" s="195" t="s">
        <v>851</v>
      </c>
      <c r="C463" s="196" t="s">
        <v>81</v>
      </c>
      <c r="D463" s="197">
        <v>128</v>
      </c>
      <c r="E463" s="255">
        <f>63.5*K1</f>
        <v>66.5244415</v>
      </c>
      <c r="F463" s="255">
        <f>24.5*K1</f>
        <v>25.666910499999997</v>
      </c>
      <c r="G463" s="255">
        <f>F463+E463</f>
        <v>92.191352</v>
      </c>
      <c r="H463" s="255">
        <f t="shared" si="70"/>
        <v>8515.128512</v>
      </c>
      <c r="I463" s="255">
        <f t="shared" si="71"/>
        <v>3285.3645439999996</v>
      </c>
      <c r="J463" s="255">
        <f t="shared" si="72"/>
        <v>11800.493056</v>
      </c>
      <c r="L463" s="9"/>
      <c r="N463" s="254"/>
    </row>
    <row r="464" spans="1:14" ht="12.75">
      <c r="A464" s="78" t="s">
        <v>885</v>
      </c>
      <c r="B464" s="195" t="s">
        <v>852</v>
      </c>
      <c r="C464" s="196" t="s">
        <v>81</v>
      </c>
      <c r="D464" s="197">
        <v>78</v>
      </c>
      <c r="E464" s="255">
        <f>89.13*K1</f>
        <v>93.37517276999999</v>
      </c>
      <c r="F464" s="255">
        <f>24.5*K1</f>
        <v>25.666910499999997</v>
      </c>
      <c r="G464" s="255">
        <f t="shared" si="66"/>
        <v>119.04208326999999</v>
      </c>
      <c r="H464" s="255">
        <f t="shared" si="70"/>
        <v>7283.263476059999</v>
      </c>
      <c r="I464" s="255">
        <f t="shared" si="71"/>
        <v>2002.0190189999998</v>
      </c>
      <c r="J464" s="255">
        <f t="shared" si="72"/>
        <v>9285.282495059999</v>
      </c>
      <c r="L464" s="9"/>
      <c r="N464" s="254"/>
    </row>
    <row r="465" spans="1:14" ht="12.75">
      <c r="A465" s="78" t="s">
        <v>886</v>
      </c>
      <c r="B465" s="195" t="s">
        <v>853</v>
      </c>
      <c r="C465" s="196" t="s">
        <v>81</v>
      </c>
      <c r="D465" s="197">
        <v>12</v>
      </c>
      <c r="E465" s="255">
        <f>18.5*K1</f>
        <v>19.3811365</v>
      </c>
      <c r="F465" s="255">
        <f>16.8*K1</f>
        <v>17.600167199999998</v>
      </c>
      <c r="G465" s="255">
        <f t="shared" si="66"/>
        <v>36.9813037</v>
      </c>
      <c r="H465" s="255">
        <f t="shared" si="70"/>
        <v>232.57363800000002</v>
      </c>
      <c r="I465" s="255">
        <f t="shared" si="71"/>
        <v>211.20200639999996</v>
      </c>
      <c r="J465" s="255">
        <f t="shared" si="72"/>
        <v>443.7756444</v>
      </c>
      <c r="L465" s="9"/>
      <c r="N465" s="254"/>
    </row>
    <row r="466" spans="1:14" ht="12.75">
      <c r="A466" s="155" t="s">
        <v>887</v>
      </c>
      <c r="B466" s="153" t="s">
        <v>888</v>
      </c>
      <c r="C466" s="80"/>
      <c r="D466" s="199"/>
      <c r="E466" s="199"/>
      <c r="F466" s="199"/>
      <c r="G466" s="199"/>
      <c r="H466" s="199"/>
      <c r="I466" s="199"/>
      <c r="J466" s="199"/>
      <c r="L466" s="9"/>
      <c r="N466" s="254"/>
    </row>
    <row r="467" spans="1:14" ht="12.75">
      <c r="A467" s="78" t="s">
        <v>889</v>
      </c>
      <c r="B467" s="195" t="s">
        <v>890</v>
      </c>
      <c r="C467" s="196" t="s">
        <v>471</v>
      </c>
      <c r="D467" s="197">
        <v>4</v>
      </c>
      <c r="E467" s="255">
        <f>1478*K1</f>
        <v>1548.395662</v>
      </c>
      <c r="F467" s="255">
        <f>750*K1</f>
        <v>785.7217499999999</v>
      </c>
      <c r="G467" s="255">
        <f aca="true" t="shared" si="73" ref="G467:G473">F467+E467</f>
        <v>2334.1174119999996</v>
      </c>
      <c r="H467" s="255">
        <f>D467*E467</f>
        <v>6193.582648</v>
      </c>
      <c r="I467" s="255">
        <f>D467*F467</f>
        <v>3142.8869999999997</v>
      </c>
      <c r="J467" s="255">
        <f>I467+H467</f>
        <v>9336.469647999998</v>
      </c>
      <c r="L467" s="9"/>
      <c r="N467" s="254"/>
    </row>
    <row r="468" spans="1:14" ht="12.75">
      <c r="A468" s="78" t="s">
        <v>897</v>
      </c>
      <c r="B468" s="195" t="s">
        <v>891</v>
      </c>
      <c r="C468" s="196" t="s">
        <v>471</v>
      </c>
      <c r="D468" s="197">
        <v>4</v>
      </c>
      <c r="E468" s="255">
        <f>1550*K1</f>
        <v>1623.82495</v>
      </c>
      <c r="F468" s="255">
        <f>750*K1</f>
        <v>785.7217499999999</v>
      </c>
      <c r="G468" s="255">
        <f t="shared" si="73"/>
        <v>2409.5467</v>
      </c>
      <c r="H468" s="255">
        <f aca="true" t="shared" si="74" ref="H468:H507">D468*E468</f>
        <v>6495.2998</v>
      </c>
      <c r="I468" s="255">
        <f aca="true" t="shared" si="75" ref="I468:I507">D468*F468</f>
        <v>3142.8869999999997</v>
      </c>
      <c r="J468" s="255">
        <f aca="true" t="shared" si="76" ref="J468:J507">I468+H468</f>
        <v>9638.1868</v>
      </c>
      <c r="L468" s="9"/>
      <c r="N468" s="254"/>
    </row>
    <row r="469" spans="1:14" ht="12.75" customHeight="1">
      <c r="A469" s="78" t="s">
        <v>898</v>
      </c>
      <c r="B469" s="195" t="s">
        <v>892</v>
      </c>
      <c r="C469" s="196" t="s">
        <v>471</v>
      </c>
      <c r="D469" s="197">
        <v>32</v>
      </c>
      <c r="E469" s="255">
        <f>65*K1</f>
        <v>68.095885</v>
      </c>
      <c r="F469" s="255">
        <f>25*K1</f>
        <v>26.190724999999997</v>
      </c>
      <c r="G469" s="255">
        <f t="shared" si="73"/>
        <v>94.28661</v>
      </c>
      <c r="H469" s="255">
        <f t="shared" si="74"/>
        <v>2179.06832</v>
      </c>
      <c r="I469" s="255">
        <f t="shared" si="75"/>
        <v>838.1031999999999</v>
      </c>
      <c r="J469" s="255">
        <f t="shared" si="76"/>
        <v>3017.17152</v>
      </c>
      <c r="L469" s="9"/>
      <c r="N469" s="254"/>
    </row>
    <row r="470" spans="1:14" ht="12.75">
      <c r="A470" s="78" t="s">
        <v>899</v>
      </c>
      <c r="B470" s="195" t="s">
        <v>1049</v>
      </c>
      <c r="C470" s="196" t="s">
        <v>49</v>
      </c>
      <c r="D470" s="197">
        <v>1</v>
      </c>
      <c r="E470" s="255">
        <f>80*K1</f>
        <v>83.81031999999999</v>
      </c>
      <c r="F470" s="255">
        <f>2550*K1</f>
        <v>2671.4539499999996</v>
      </c>
      <c r="G470" s="255">
        <f t="shared" si="73"/>
        <v>2755.2642699999997</v>
      </c>
      <c r="H470" s="255">
        <f t="shared" si="74"/>
        <v>83.81031999999999</v>
      </c>
      <c r="I470" s="255">
        <f t="shared" si="75"/>
        <v>2671.4539499999996</v>
      </c>
      <c r="J470" s="255">
        <f t="shared" si="76"/>
        <v>2755.2642699999997</v>
      </c>
      <c r="L470" s="9"/>
      <c r="N470" s="254"/>
    </row>
    <row r="471" spans="1:14" ht="12.75">
      <c r="A471" s="78" t="s">
        <v>900</v>
      </c>
      <c r="B471" s="195" t="s">
        <v>894</v>
      </c>
      <c r="C471" s="196" t="s">
        <v>49</v>
      </c>
      <c r="D471" s="197">
        <v>1</v>
      </c>
      <c r="E471" s="255">
        <f>88*K1</f>
        <v>92.191352</v>
      </c>
      <c r="F471" s="255">
        <f>220*K1</f>
        <v>230.47838</v>
      </c>
      <c r="G471" s="255">
        <f t="shared" si="73"/>
        <v>322.66973199999995</v>
      </c>
      <c r="H471" s="255">
        <f t="shared" si="74"/>
        <v>92.191352</v>
      </c>
      <c r="I471" s="255">
        <f t="shared" si="75"/>
        <v>230.47838</v>
      </c>
      <c r="J471" s="255">
        <f t="shared" si="76"/>
        <v>322.66973199999995</v>
      </c>
      <c r="L471" s="9"/>
      <c r="N471" s="254"/>
    </row>
    <row r="472" spans="1:14" ht="12.75">
      <c r="A472" s="78" t="s">
        <v>901</v>
      </c>
      <c r="B472" s="195" t="s">
        <v>1050</v>
      </c>
      <c r="C472" s="196" t="s">
        <v>49</v>
      </c>
      <c r="D472" s="197">
        <v>1</v>
      </c>
      <c r="E472" s="255">
        <f>200*K1</f>
        <v>209.52579999999998</v>
      </c>
      <c r="F472" s="255">
        <f>2800*K1</f>
        <v>2933.3612</v>
      </c>
      <c r="G472" s="255">
        <f t="shared" si="73"/>
        <v>3142.8869999999997</v>
      </c>
      <c r="H472" s="255">
        <f t="shared" si="74"/>
        <v>209.52579999999998</v>
      </c>
      <c r="I472" s="255">
        <f t="shared" si="75"/>
        <v>2933.3612</v>
      </c>
      <c r="J472" s="255">
        <f t="shared" si="76"/>
        <v>3142.8869999999997</v>
      </c>
      <c r="L472" s="9"/>
      <c r="N472" s="254"/>
    </row>
    <row r="473" spans="1:14" ht="12.75">
      <c r="A473" s="78" t="s">
        <v>902</v>
      </c>
      <c r="B473" s="195" t="s">
        <v>1051</v>
      </c>
      <c r="C473" s="196" t="s">
        <v>903</v>
      </c>
      <c r="D473" s="197">
        <v>8</v>
      </c>
      <c r="E473" s="255">
        <v>0</v>
      </c>
      <c r="F473" s="255">
        <f>156*K1</f>
        <v>163.43012399999998</v>
      </c>
      <c r="G473" s="255">
        <f t="shared" si="73"/>
        <v>163.43012399999998</v>
      </c>
      <c r="H473" s="255">
        <f t="shared" si="74"/>
        <v>0</v>
      </c>
      <c r="I473" s="255">
        <f t="shared" si="75"/>
        <v>1307.4409919999998</v>
      </c>
      <c r="J473" s="255">
        <f t="shared" si="76"/>
        <v>1307.4409919999998</v>
      </c>
      <c r="K473" s="1"/>
      <c r="L473" s="9"/>
      <c r="N473" s="254"/>
    </row>
    <row r="474" spans="1:14" ht="12.75">
      <c r="A474" s="72">
        <v>16</v>
      </c>
      <c r="B474" s="77" t="s">
        <v>905</v>
      </c>
      <c r="C474" s="171"/>
      <c r="D474" s="205"/>
      <c r="E474" s="205"/>
      <c r="F474" s="205"/>
      <c r="G474" s="205"/>
      <c r="H474" s="205"/>
      <c r="I474" s="205"/>
      <c r="J474" s="206"/>
      <c r="L474" s="9"/>
      <c r="N474" s="254"/>
    </row>
    <row r="475" spans="1:14" ht="12.75">
      <c r="A475" s="155" t="s">
        <v>906</v>
      </c>
      <c r="B475" s="153" t="s">
        <v>907</v>
      </c>
      <c r="C475" s="80"/>
      <c r="D475" s="199"/>
      <c r="E475" s="199"/>
      <c r="F475" s="199"/>
      <c r="G475" s="199"/>
      <c r="H475" s="199"/>
      <c r="I475" s="199"/>
      <c r="J475" s="199"/>
      <c r="L475" s="9"/>
      <c r="N475" s="254"/>
    </row>
    <row r="476" spans="1:14" ht="24">
      <c r="A476" s="78" t="s">
        <v>926</v>
      </c>
      <c r="B476" s="195" t="s">
        <v>908</v>
      </c>
      <c r="C476" s="196" t="s">
        <v>49</v>
      </c>
      <c r="D476" s="197">
        <v>2</v>
      </c>
      <c r="E476" s="255">
        <f>1236*K1</f>
        <v>1294.869444</v>
      </c>
      <c r="F476" s="255">
        <f>488*K1</f>
        <v>511.24295199999995</v>
      </c>
      <c r="G476" s="255">
        <f aca="true" t="shared" si="77" ref="G476:G493">F476+E476</f>
        <v>1806.112396</v>
      </c>
      <c r="H476" s="255">
        <f t="shared" si="74"/>
        <v>2589.738888</v>
      </c>
      <c r="I476" s="255">
        <f t="shared" si="75"/>
        <v>1022.4859039999999</v>
      </c>
      <c r="J476" s="255">
        <f t="shared" si="76"/>
        <v>3612.224792</v>
      </c>
      <c r="L476" s="9"/>
      <c r="N476" s="254"/>
    </row>
    <row r="477" spans="1:14" ht="24">
      <c r="A477" s="78" t="s">
        <v>927</v>
      </c>
      <c r="B477" s="195" t="s">
        <v>909</v>
      </c>
      <c r="C477" s="196" t="s">
        <v>49</v>
      </c>
      <c r="D477" s="197">
        <v>1</v>
      </c>
      <c r="E477" s="255">
        <f>1330*K1</f>
        <v>1393.34657</v>
      </c>
      <c r="F477" s="255">
        <f>515*K1</f>
        <v>539.5289349999999</v>
      </c>
      <c r="G477" s="255">
        <f t="shared" si="77"/>
        <v>1932.875505</v>
      </c>
      <c r="H477" s="255">
        <f t="shared" si="74"/>
        <v>1393.34657</v>
      </c>
      <c r="I477" s="255">
        <f t="shared" si="75"/>
        <v>539.5289349999999</v>
      </c>
      <c r="J477" s="255">
        <f t="shared" si="76"/>
        <v>1932.875505</v>
      </c>
      <c r="L477" s="9"/>
      <c r="N477" s="254"/>
    </row>
    <row r="478" spans="1:14" ht="24">
      <c r="A478" s="78" t="s">
        <v>928</v>
      </c>
      <c r="B478" s="195" t="s">
        <v>910</v>
      </c>
      <c r="C478" s="196" t="s">
        <v>49</v>
      </c>
      <c r="D478" s="197">
        <v>5</v>
      </c>
      <c r="E478" s="255">
        <f>2100*K1</f>
        <v>2200.0209</v>
      </c>
      <c r="F478" s="255">
        <f>579*K1</f>
        <v>606.577191</v>
      </c>
      <c r="G478" s="255">
        <f t="shared" si="77"/>
        <v>2806.598091</v>
      </c>
      <c r="H478" s="255">
        <f t="shared" si="74"/>
        <v>11000.1045</v>
      </c>
      <c r="I478" s="255">
        <f t="shared" si="75"/>
        <v>3032.8859549999997</v>
      </c>
      <c r="J478" s="255">
        <f t="shared" si="76"/>
        <v>14032.990455</v>
      </c>
      <c r="L478" s="9"/>
      <c r="N478" s="254"/>
    </row>
    <row r="479" spans="1:14" ht="24">
      <c r="A479" s="78" t="s">
        <v>929</v>
      </c>
      <c r="B479" s="195" t="s">
        <v>911</v>
      </c>
      <c r="C479" s="196" t="s">
        <v>49</v>
      </c>
      <c r="D479" s="197">
        <v>2</v>
      </c>
      <c r="E479" s="255">
        <f>2640*K1</f>
        <v>2765.7405599999997</v>
      </c>
      <c r="F479" s="255">
        <f>650*K1</f>
        <v>680.95885</v>
      </c>
      <c r="G479" s="255">
        <f t="shared" si="77"/>
        <v>3446.6994099999997</v>
      </c>
      <c r="H479" s="255">
        <f t="shared" si="74"/>
        <v>5531.4811199999995</v>
      </c>
      <c r="I479" s="255">
        <f t="shared" si="75"/>
        <v>1361.9177</v>
      </c>
      <c r="J479" s="255">
        <f t="shared" si="76"/>
        <v>6893.398819999999</v>
      </c>
      <c r="L479" s="9"/>
      <c r="N479" s="254"/>
    </row>
    <row r="480" spans="1:14" ht="24">
      <c r="A480" s="78" t="s">
        <v>930</v>
      </c>
      <c r="B480" s="195" t="s">
        <v>912</v>
      </c>
      <c r="C480" s="196" t="s">
        <v>49</v>
      </c>
      <c r="D480" s="197">
        <v>4</v>
      </c>
      <c r="E480" s="255">
        <f>3282*K1</f>
        <v>3438.318378</v>
      </c>
      <c r="F480" s="255">
        <f>862*K1</f>
        <v>903.0561979999999</v>
      </c>
      <c r="G480" s="255">
        <f t="shared" si="77"/>
        <v>4341.374576</v>
      </c>
      <c r="H480" s="255">
        <f t="shared" si="74"/>
        <v>13753.273512</v>
      </c>
      <c r="I480" s="255">
        <f t="shared" si="75"/>
        <v>3612.2247919999995</v>
      </c>
      <c r="J480" s="255">
        <f t="shared" si="76"/>
        <v>17365.498304</v>
      </c>
      <c r="L480" s="9"/>
      <c r="N480" s="254"/>
    </row>
    <row r="481" spans="1:14" ht="24">
      <c r="A481" s="78" t="s">
        <v>931</v>
      </c>
      <c r="B481" s="195" t="s">
        <v>913</v>
      </c>
      <c r="C481" s="196" t="s">
        <v>49</v>
      </c>
      <c r="D481" s="197">
        <v>8</v>
      </c>
      <c r="E481" s="255">
        <f>4879*K1</f>
        <v>5111.381891</v>
      </c>
      <c r="F481" s="255">
        <f>1240*K1</f>
        <v>1299.0599599999998</v>
      </c>
      <c r="G481" s="255">
        <f t="shared" si="77"/>
        <v>6410.441851</v>
      </c>
      <c r="H481" s="255">
        <f t="shared" si="74"/>
        <v>40891.055128</v>
      </c>
      <c r="I481" s="255">
        <f t="shared" si="75"/>
        <v>10392.479679999999</v>
      </c>
      <c r="J481" s="255">
        <f t="shared" si="76"/>
        <v>51283.534808</v>
      </c>
      <c r="L481" s="9"/>
      <c r="N481" s="254"/>
    </row>
    <row r="482" spans="1:14" ht="24">
      <c r="A482" s="78" t="s">
        <v>932</v>
      </c>
      <c r="B482" s="195" t="s">
        <v>914</v>
      </c>
      <c r="C482" s="196" t="s">
        <v>49</v>
      </c>
      <c r="D482" s="197">
        <v>1</v>
      </c>
      <c r="E482" s="255">
        <f>5381*K1</f>
        <v>5637.291649</v>
      </c>
      <c r="F482" s="255">
        <f>1478*K1</f>
        <v>1548.395662</v>
      </c>
      <c r="G482" s="255">
        <f t="shared" si="77"/>
        <v>7185.687311</v>
      </c>
      <c r="H482" s="255">
        <f t="shared" si="74"/>
        <v>5637.291649</v>
      </c>
      <c r="I482" s="255">
        <f t="shared" si="75"/>
        <v>1548.395662</v>
      </c>
      <c r="J482" s="255">
        <f t="shared" si="76"/>
        <v>7185.687311</v>
      </c>
      <c r="L482" s="9"/>
      <c r="N482" s="254"/>
    </row>
    <row r="483" spans="1:14" ht="24">
      <c r="A483" s="78" t="s">
        <v>933</v>
      </c>
      <c r="B483" s="195" t="s">
        <v>915</v>
      </c>
      <c r="C483" s="196" t="s">
        <v>49</v>
      </c>
      <c r="D483" s="197">
        <v>1</v>
      </c>
      <c r="E483" s="255">
        <f>3426*K1</f>
        <v>3589.1769539999996</v>
      </c>
      <c r="F483" s="255">
        <f>1288*K1</f>
        <v>1349.3461519999998</v>
      </c>
      <c r="G483" s="255">
        <f t="shared" si="77"/>
        <v>4938.523106</v>
      </c>
      <c r="H483" s="255">
        <f t="shared" si="74"/>
        <v>3589.1769539999996</v>
      </c>
      <c r="I483" s="255">
        <f t="shared" si="75"/>
        <v>1349.3461519999998</v>
      </c>
      <c r="J483" s="255">
        <f t="shared" si="76"/>
        <v>4938.523106</v>
      </c>
      <c r="L483" s="9"/>
      <c r="N483" s="254"/>
    </row>
    <row r="484" spans="1:14" ht="24">
      <c r="A484" s="78" t="s">
        <v>934</v>
      </c>
      <c r="B484" s="195" t="s">
        <v>916</v>
      </c>
      <c r="C484" s="196" t="s">
        <v>49</v>
      </c>
      <c r="D484" s="197">
        <v>2</v>
      </c>
      <c r="E484" s="255">
        <f>4792*K1</f>
        <v>5020.238168</v>
      </c>
      <c r="F484" s="255">
        <f>1502*K1</f>
        <v>1573.538758</v>
      </c>
      <c r="G484" s="255">
        <f t="shared" si="77"/>
        <v>6593.776926</v>
      </c>
      <c r="H484" s="255">
        <f t="shared" si="74"/>
        <v>10040.476336</v>
      </c>
      <c r="I484" s="255">
        <f t="shared" si="75"/>
        <v>3147.077516</v>
      </c>
      <c r="J484" s="255">
        <f t="shared" si="76"/>
        <v>13187.553852</v>
      </c>
      <c r="L484" s="9"/>
      <c r="N484" s="254"/>
    </row>
    <row r="485" spans="1:14" ht="24">
      <c r="A485" s="78" t="s">
        <v>935</v>
      </c>
      <c r="B485" s="195" t="s">
        <v>917</v>
      </c>
      <c r="C485" s="196" t="s">
        <v>49</v>
      </c>
      <c r="D485" s="197">
        <v>12</v>
      </c>
      <c r="E485" s="255">
        <f>5519*K1</f>
        <v>5781.8644509999995</v>
      </c>
      <c r="F485" s="255">
        <f>2241*K1</f>
        <v>2347.7365889999996</v>
      </c>
      <c r="G485" s="255">
        <f t="shared" si="77"/>
        <v>8129.60104</v>
      </c>
      <c r="H485" s="255">
        <f t="shared" si="74"/>
        <v>69382.37341199999</v>
      </c>
      <c r="I485" s="255">
        <f t="shared" si="75"/>
        <v>28172.839067999994</v>
      </c>
      <c r="J485" s="255">
        <f t="shared" si="76"/>
        <v>97555.21247999999</v>
      </c>
      <c r="L485" s="9"/>
      <c r="N485" s="254"/>
    </row>
    <row r="486" spans="1:14" ht="24">
      <c r="A486" s="78" t="s">
        <v>936</v>
      </c>
      <c r="B486" s="195" t="s">
        <v>918</v>
      </c>
      <c r="C486" s="196" t="s">
        <v>49</v>
      </c>
      <c r="D486" s="197">
        <v>10</v>
      </c>
      <c r="E486" s="255">
        <f>6942*K1</f>
        <v>7272.640517999999</v>
      </c>
      <c r="F486" s="255">
        <f>2555*K1</f>
        <v>2676.692095</v>
      </c>
      <c r="G486" s="255">
        <f t="shared" si="77"/>
        <v>9949.332612999999</v>
      </c>
      <c r="H486" s="255">
        <f t="shared" si="74"/>
        <v>72726.40517999999</v>
      </c>
      <c r="I486" s="255">
        <f t="shared" si="75"/>
        <v>26766.92095</v>
      </c>
      <c r="J486" s="255">
        <f t="shared" si="76"/>
        <v>99493.32612999999</v>
      </c>
      <c r="L486" s="9"/>
      <c r="N486" s="254"/>
    </row>
    <row r="487" spans="1:14" ht="24">
      <c r="A487" s="78" t="s">
        <v>937</v>
      </c>
      <c r="B487" s="195" t="s">
        <v>919</v>
      </c>
      <c r="C487" s="196" t="s">
        <v>49</v>
      </c>
      <c r="D487" s="197">
        <v>4</v>
      </c>
      <c r="E487" s="255">
        <f>28289*K1</f>
        <v>29636.376781</v>
      </c>
      <c r="F487" s="255">
        <f>4150*K1</f>
        <v>4347.66035</v>
      </c>
      <c r="G487" s="255">
        <f t="shared" si="77"/>
        <v>33984.037131</v>
      </c>
      <c r="H487" s="255">
        <f t="shared" si="74"/>
        <v>118545.507124</v>
      </c>
      <c r="I487" s="255">
        <f t="shared" si="75"/>
        <v>17390.6414</v>
      </c>
      <c r="J487" s="255">
        <f t="shared" si="76"/>
        <v>135936.148524</v>
      </c>
      <c r="L487" s="9"/>
      <c r="N487" s="254"/>
    </row>
    <row r="488" spans="1:14" ht="24">
      <c r="A488" s="78" t="s">
        <v>938</v>
      </c>
      <c r="B488" s="195" t="s">
        <v>920</v>
      </c>
      <c r="C488" s="196" t="s">
        <v>49</v>
      </c>
      <c r="D488" s="197">
        <v>4</v>
      </c>
      <c r="E488" s="255">
        <f>34050*K1</f>
        <v>35671.76745</v>
      </c>
      <c r="F488" s="255">
        <f>4878*K1</f>
        <v>5110.334261999999</v>
      </c>
      <c r="G488" s="255">
        <f t="shared" si="77"/>
        <v>40782.101711999996</v>
      </c>
      <c r="H488" s="255">
        <f t="shared" si="74"/>
        <v>142687.0698</v>
      </c>
      <c r="I488" s="255">
        <f t="shared" si="75"/>
        <v>20441.337047999998</v>
      </c>
      <c r="J488" s="255">
        <f t="shared" si="76"/>
        <v>163128.40684799998</v>
      </c>
      <c r="L488" s="9"/>
      <c r="N488" s="254"/>
    </row>
    <row r="489" spans="1:14" ht="36">
      <c r="A489" s="78" t="s">
        <v>939</v>
      </c>
      <c r="B489" s="195" t="s">
        <v>921</v>
      </c>
      <c r="C489" s="196" t="s">
        <v>49</v>
      </c>
      <c r="D489" s="197">
        <v>1</v>
      </c>
      <c r="E489" s="255">
        <f>2110*K1</f>
        <v>2210.49719</v>
      </c>
      <c r="F489" s="255">
        <f>450*K1</f>
        <v>471.43305</v>
      </c>
      <c r="G489" s="255">
        <f t="shared" si="77"/>
        <v>2681.93024</v>
      </c>
      <c r="H489" s="255">
        <f t="shared" si="74"/>
        <v>2210.49719</v>
      </c>
      <c r="I489" s="255">
        <f t="shared" si="75"/>
        <v>471.43305</v>
      </c>
      <c r="J489" s="255">
        <f t="shared" si="76"/>
        <v>2681.93024</v>
      </c>
      <c r="L489" s="9"/>
      <c r="N489" s="254"/>
    </row>
    <row r="490" spans="1:14" ht="36">
      <c r="A490" s="78" t="s">
        <v>940</v>
      </c>
      <c r="B490" s="195" t="s">
        <v>922</v>
      </c>
      <c r="C490" s="196" t="s">
        <v>49</v>
      </c>
      <c r="D490" s="197">
        <v>3</v>
      </c>
      <c r="E490" s="255">
        <f>2789*K1</f>
        <v>2921.8372809999996</v>
      </c>
      <c r="F490" s="255">
        <f>450*K1</f>
        <v>471.43305</v>
      </c>
      <c r="G490" s="255">
        <f t="shared" si="77"/>
        <v>3393.2703309999997</v>
      </c>
      <c r="H490" s="255">
        <f t="shared" si="74"/>
        <v>8765.511842999998</v>
      </c>
      <c r="I490" s="255">
        <f t="shared" si="75"/>
        <v>1414.2991499999998</v>
      </c>
      <c r="J490" s="255">
        <f t="shared" si="76"/>
        <v>10179.810993</v>
      </c>
      <c r="L490" s="9"/>
      <c r="N490" s="254"/>
    </row>
    <row r="491" spans="1:14" ht="36">
      <c r="A491" s="78" t="s">
        <v>941</v>
      </c>
      <c r="B491" s="195" t="s">
        <v>923</v>
      </c>
      <c r="C491" s="196" t="s">
        <v>49</v>
      </c>
      <c r="D491" s="197">
        <v>7</v>
      </c>
      <c r="E491" s="255">
        <f>225*K1</f>
        <v>235.716525</v>
      </c>
      <c r="F491" s="255">
        <f>244*K1</f>
        <v>255.62147599999997</v>
      </c>
      <c r="G491" s="255">
        <f t="shared" si="77"/>
        <v>491.33800099999996</v>
      </c>
      <c r="H491" s="255">
        <f t="shared" si="74"/>
        <v>1650.0156749999999</v>
      </c>
      <c r="I491" s="255">
        <f t="shared" si="75"/>
        <v>1789.3503319999998</v>
      </c>
      <c r="J491" s="255">
        <f t="shared" si="76"/>
        <v>3439.3660069999996</v>
      </c>
      <c r="L491" s="9"/>
      <c r="N491" s="254"/>
    </row>
    <row r="492" spans="1:14" ht="36">
      <c r="A492" s="78" t="s">
        <v>942</v>
      </c>
      <c r="B492" s="195" t="s">
        <v>924</v>
      </c>
      <c r="C492" s="196" t="s">
        <v>49</v>
      </c>
      <c r="D492" s="197">
        <v>6</v>
      </c>
      <c r="E492" s="255">
        <f>246*K1</f>
        <v>257.716734</v>
      </c>
      <c r="F492" s="255">
        <f>244*K1</f>
        <v>255.62147599999997</v>
      </c>
      <c r="G492" s="255">
        <f t="shared" si="77"/>
        <v>513.3382099999999</v>
      </c>
      <c r="H492" s="255">
        <f t="shared" si="74"/>
        <v>1546.3004039999998</v>
      </c>
      <c r="I492" s="255">
        <f t="shared" si="75"/>
        <v>1533.7288559999997</v>
      </c>
      <c r="J492" s="255">
        <f t="shared" si="76"/>
        <v>3080.0292599999993</v>
      </c>
      <c r="L492" s="9"/>
      <c r="N492" s="254"/>
    </row>
    <row r="493" spans="1:14" ht="36">
      <c r="A493" s="78" t="s">
        <v>943</v>
      </c>
      <c r="B493" s="195" t="s">
        <v>925</v>
      </c>
      <c r="C493" s="196" t="s">
        <v>49</v>
      </c>
      <c r="D493" s="197">
        <v>4</v>
      </c>
      <c r="E493" s="255">
        <f>275*K1</f>
        <v>288.09797499999996</v>
      </c>
      <c r="F493" s="255">
        <f>244*K1</f>
        <v>255.62147599999997</v>
      </c>
      <c r="G493" s="255">
        <f t="shared" si="77"/>
        <v>543.7194509999999</v>
      </c>
      <c r="H493" s="255">
        <f t="shared" si="74"/>
        <v>1152.3918999999999</v>
      </c>
      <c r="I493" s="255">
        <f t="shared" si="75"/>
        <v>1022.4859039999999</v>
      </c>
      <c r="J493" s="255">
        <f t="shared" si="76"/>
        <v>2174.8778039999997</v>
      </c>
      <c r="L493" s="9"/>
      <c r="N493" s="254"/>
    </row>
    <row r="494" spans="1:14" ht="12.75">
      <c r="A494" s="155" t="s">
        <v>945</v>
      </c>
      <c r="B494" s="153" t="s">
        <v>944</v>
      </c>
      <c r="C494" s="80"/>
      <c r="D494" s="199"/>
      <c r="E494" s="199"/>
      <c r="F494" s="199"/>
      <c r="G494" s="199"/>
      <c r="H494" s="199"/>
      <c r="I494" s="199"/>
      <c r="J494" s="199"/>
      <c r="L494" s="9"/>
      <c r="N494" s="254"/>
    </row>
    <row r="495" spans="1:14" ht="12.75">
      <c r="A495" s="78" t="s">
        <v>976</v>
      </c>
      <c r="B495" s="195" t="s">
        <v>946</v>
      </c>
      <c r="C495" s="196" t="s">
        <v>82</v>
      </c>
      <c r="D495" s="197">
        <v>3445</v>
      </c>
      <c r="E495" s="255">
        <f>18.5*K1</f>
        <v>19.3811365</v>
      </c>
      <c r="F495" s="255">
        <f>26*K1</f>
        <v>27.238353999999998</v>
      </c>
      <c r="G495" s="255">
        <f aca="true" t="shared" si="78" ref="G495:G500">F495+E495</f>
        <v>46.6194905</v>
      </c>
      <c r="H495" s="255">
        <f t="shared" si="74"/>
        <v>66768.0152425</v>
      </c>
      <c r="I495" s="255">
        <f t="shared" si="75"/>
        <v>93836.12952999999</v>
      </c>
      <c r="J495" s="255">
        <f t="shared" si="76"/>
        <v>160604.14477249997</v>
      </c>
      <c r="L495" s="9"/>
      <c r="N495" s="254"/>
    </row>
    <row r="496" spans="1:14" ht="12.75">
      <c r="A496" s="78" t="s">
        <v>977</v>
      </c>
      <c r="B496" s="195" t="s">
        <v>947</v>
      </c>
      <c r="C496" s="196" t="s">
        <v>82</v>
      </c>
      <c r="D496" s="197">
        <v>4268</v>
      </c>
      <c r="E496" s="255">
        <f>18.5*K1</f>
        <v>19.3811365</v>
      </c>
      <c r="F496" s="255">
        <f>26*K1</f>
        <v>27.238353999999998</v>
      </c>
      <c r="G496" s="255">
        <f t="shared" si="78"/>
        <v>46.6194905</v>
      </c>
      <c r="H496" s="255">
        <f t="shared" si="74"/>
        <v>82718.690582</v>
      </c>
      <c r="I496" s="255">
        <f t="shared" si="75"/>
        <v>116253.29487199998</v>
      </c>
      <c r="J496" s="255">
        <f t="shared" si="76"/>
        <v>198971.98545399998</v>
      </c>
      <c r="L496" s="9"/>
      <c r="N496" s="254"/>
    </row>
    <row r="497" spans="1:14" ht="12.75">
      <c r="A497" s="78" t="s">
        <v>978</v>
      </c>
      <c r="B497" s="195" t="s">
        <v>948</v>
      </c>
      <c r="C497" s="196" t="s">
        <v>81</v>
      </c>
      <c r="D497" s="197">
        <v>322</v>
      </c>
      <c r="E497" s="255">
        <f>18.8*K1</f>
        <v>19.6954252</v>
      </c>
      <c r="F497" s="255">
        <f>23*K1</f>
        <v>24.095467</v>
      </c>
      <c r="G497" s="255">
        <f t="shared" si="78"/>
        <v>43.7908922</v>
      </c>
      <c r="H497" s="255">
        <f t="shared" si="74"/>
        <v>6341.9269144</v>
      </c>
      <c r="I497" s="255">
        <f t="shared" si="75"/>
        <v>7758.740374</v>
      </c>
      <c r="J497" s="255">
        <f t="shared" si="76"/>
        <v>14100.6672884</v>
      </c>
      <c r="L497" s="9"/>
      <c r="N497" s="254"/>
    </row>
    <row r="498" spans="1:14" ht="12.75">
      <c r="A498" s="78" t="s">
        <v>979</v>
      </c>
      <c r="B498" s="195" t="s">
        <v>949</v>
      </c>
      <c r="C498" s="196" t="s">
        <v>81</v>
      </c>
      <c r="D498" s="197">
        <v>32</v>
      </c>
      <c r="E498" s="255">
        <f>28*K1</f>
        <v>29.333612</v>
      </c>
      <c r="F498" s="255">
        <f>35*K1</f>
        <v>36.667015</v>
      </c>
      <c r="G498" s="255">
        <f t="shared" si="78"/>
        <v>66.000627</v>
      </c>
      <c r="H498" s="255">
        <f t="shared" si="74"/>
        <v>938.675584</v>
      </c>
      <c r="I498" s="255">
        <f t="shared" si="75"/>
        <v>1173.34448</v>
      </c>
      <c r="J498" s="255">
        <f t="shared" si="76"/>
        <v>2112.020064</v>
      </c>
      <c r="L498" s="9"/>
      <c r="N498" s="254"/>
    </row>
    <row r="499" spans="1:14" ht="48">
      <c r="A499" s="78" t="s">
        <v>980</v>
      </c>
      <c r="B499" s="195" t="s">
        <v>950</v>
      </c>
      <c r="C499" s="196" t="s">
        <v>50</v>
      </c>
      <c r="D499" s="197">
        <v>209</v>
      </c>
      <c r="E499" s="255">
        <f>15*K1</f>
        <v>15.714434999999998</v>
      </c>
      <c r="F499" s="255">
        <f>16.5*K1</f>
        <v>17.2858785</v>
      </c>
      <c r="G499" s="255">
        <f t="shared" si="78"/>
        <v>33.0003135</v>
      </c>
      <c r="H499" s="255">
        <f t="shared" si="74"/>
        <v>3284.3169149999994</v>
      </c>
      <c r="I499" s="255">
        <f t="shared" si="75"/>
        <v>3612.7486065</v>
      </c>
      <c r="J499" s="255">
        <f t="shared" si="76"/>
        <v>6897.065521499999</v>
      </c>
      <c r="L499" s="9"/>
      <c r="N499" s="254"/>
    </row>
    <row r="500" spans="1:14" ht="12.75">
      <c r="A500" s="78" t="s">
        <v>981</v>
      </c>
      <c r="B500" s="195" t="s">
        <v>951</v>
      </c>
      <c r="C500" s="196" t="s">
        <v>471</v>
      </c>
      <c r="D500" s="197">
        <v>2</v>
      </c>
      <c r="E500" s="255">
        <f>98*K1</f>
        <v>102.66764199999999</v>
      </c>
      <c r="F500" s="255">
        <f>25*K1</f>
        <v>26.190724999999997</v>
      </c>
      <c r="G500" s="255">
        <f t="shared" si="78"/>
        <v>128.858367</v>
      </c>
      <c r="H500" s="255">
        <f t="shared" si="74"/>
        <v>205.33528399999997</v>
      </c>
      <c r="I500" s="255">
        <f t="shared" si="75"/>
        <v>52.381449999999994</v>
      </c>
      <c r="J500" s="255">
        <f t="shared" si="76"/>
        <v>257.716734</v>
      </c>
      <c r="L500" s="9"/>
      <c r="N500" s="254"/>
    </row>
    <row r="501" spans="1:14" ht="12.75">
      <c r="A501" s="78" t="s">
        <v>982</v>
      </c>
      <c r="B501" s="195" t="s">
        <v>952</v>
      </c>
      <c r="C501" s="196" t="s">
        <v>471</v>
      </c>
      <c r="D501" s="197">
        <v>9</v>
      </c>
      <c r="E501" s="255">
        <f>110*K1</f>
        <v>115.23919</v>
      </c>
      <c r="F501" s="255">
        <f>25*K1</f>
        <v>26.190724999999997</v>
      </c>
      <c r="G501" s="255">
        <f aca="true" t="shared" si="79" ref="G501:G523">F501+E501</f>
        <v>141.429915</v>
      </c>
      <c r="H501" s="255">
        <f t="shared" si="74"/>
        <v>1037.1527099999998</v>
      </c>
      <c r="I501" s="255">
        <f t="shared" si="75"/>
        <v>235.71652499999996</v>
      </c>
      <c r="J501" s="255">
        <f t="shared" si="76"/>
        <v>1272.869235</v>
      </c>
      <c r="L501" s="9"/>
      <c r="N501" s="254"/>
    </row>
    <row r="502" spans="1:14" ht="12.75">
      <c r="A502" s="78" t="s">
        <v>983</v>
      </c>
      <c r="B502" s="195" t="s">
        <v>953</v>
      </c>
      <c r="C502" s="196" t="s">
        <v>471</v>
      </c>
      <c r="D502" s="197">
        <v>133</v>
      </c>
      <c r="E502" s="255">
        <f>115*K1</f>
        <v>120.477335</v>
      </c>
      <c r="F502" s="255">
        <f>25*K1</f>
        <v>26.190724999999997</v>
      </c>
      <c r="G502" s="255">
        <f t="shared" si="79"/>
        <v>146.66806</v>
      </c>
      <c r="H502" s="255">
        <f t="shared" si="74"/>
        <v>16023.485555</v>
      </c>
      <c r="I502" s="255">
        <f t="shared" si="75"/>
        <v>3483.3664249999997</v>
      </c>
      <c r="J502" s="255">
        <f t="shared" si="76"/>
        <v>19506.85198</v>
      </c>
      <c r="L502" s="9"/>
      <c r="N502" s="254"/>
    </row>
    <row r="503" spans="1:14" ht="12.75">
      <c r="A503" s="78" t="s">
        <v>984</v>
      </c>
      <c r="B503" s="195" t="s">
        <v>954</v>
      </c>
      <c r="C503" s="196" t="s">
        <v>471</v>
      </c>
      <c r="D503" s="197">
        <v>49</v>
      </c>
      <c r="E503" s="255">
        <f>124*K1</f>
        <v>129.905996</v>
      </c>
      <c r="F503" s="255">
        <f>25*K1</f>
        <v>26.190724999999997</v>
      </c>
      <c r="G503" s="255">
        <f t="shared" si="79"/>
        <v>156.09672099999997</v>
      </c>
      <c r="H503" s="255">
        <f t="shared" si="74"/>
        <v>6365.393803999999</v>
      </c>
      <c r="I503" s="255">
        <f t="shared" si="75"/>
        <v>1283.345525</v>
      </c>
      <c r="J503" s="255">
        <f t="shared" si="76"/>
        <v>7648.739328999999</v>
      </c>
      <c r="L503" s="9"/>
      <c r="N503" s="254"/>
    </row>
    <row r="504" spans="1:14" ht="12.75" customHeight="1">
      <c r="A504" s="78" t="s">
        <v>985</v>
      </c>
      <c r="B504" s="195" t="s">
        <v>955</v>
      </c>
      <c r="C504" s="196" t="s">
        <v>471</v>
      </c>
      <c r="D504" s="197">
        <v>6</v>
      </c>
      <c r="E504" s="255">
        <f>67*K1</f>
        <v>70.191143</v>
      </c>
      <c r="F504" s="255">
        <f>25*K1</f>
        <v>26.190724999999997</v>
      </c>
      <c r="G504" s="255">
        <f t="shared" si="79"/>
        <v>96.381868</v>
      </c>
      <c r="H504" s="255">
        <f t="shared" si="74"/>
        <v>421.14685799999995</v>
      </c>
      <c r="I504" s="255">
        <f t="shared" si="75"/>
        <v>157.14434999999997</v>
      </c>
      <c r="J504" s="255">
        <f t="shared" si="76"/>
        <v>578.2912079999999</v>
      </c>
      <c r="L504" s="9"/>
      <c r="N504" s="254"/>
    </row>
    <row r="505" spans="1:14" ht="12.75" customHeight="1">
      <c r="A505" s="78" t="s">
        <v>986</v>
      </c>
      <c r="B505" s="195" t="s">
        <v>956</v>
      </c>
      <c r="C505" s="196" t="s">
        <v>471</v>
      </c>
      <c r="D505" s="197">
        <v>8</v>
      </c>
      <c r="E505" s="255">
        <f>89*K1</f>
        <v>93.238981</v>
      </c>
      <c r="F505" s="255">
        <f>25*K1</f>
        <v>26.190724999999997</v>
      </c>
      <c r="G505" s="255">
        <f t="shared" si="79"/>
        <v>119.429706</v>
      </c>
      <c r="H505" s="255">
        <f t="shared" si="74"/>
        <v>745.911848</v>
      </c>
      <c r="I505" s="255">
        <f t="shared" si="75"/>
        <v>209.52579999999998</v>
      </c>
      <c r="J505" s="255">
        <f t="shared" si="76"/>
        <v>955.437648</v>
      </c>
      <c r="L505" s="9"/>
      <c r="N505" s="254"/>
    </row>
    <row r="506" spans="1:14" ht="12.75" customHeight="1">
      <c r="A506" s="78" t="s">
        <v>987</v>
      </c>
      <c r="B506" s="195" t="s">
        <v>957</v>
      </c>
      <c r="C506" s="196" t="s">
        <v>471</v>
      </c>
      <c r="D506" s="197">
        <v>1</v>
      </c>
      <c r="E506" s="255">
        <f>123*K1</f>
        <v>128.858367</v>
      </c>
      <c r="F506" s="255">
        <f>25*K1</f>
        <v>26.190724999999997</v>
      </c>
      <c r="G506" s="255">
        <f t="shared" si="79"/>
        <v>155.04909199999997</v>
      </c>
      <c r="H506" s="255">
        <f t="shared" si="74"/>
        <v>128.858367</v>
      </c>
      <c r="I506" s="255">
        <f t="shared" si="75"/>
        <v>26.190724999999997</v>
      </c>
      <c r="J506" s="255">
        <f t="shared" si="76"/>
        <v>155.04909199999997</v>
      </c>
      <c r="L506" s="9"/>
      <c r="N506" s="254"/>
    </row>
    <row r="507" spans="1:14" ht="12.75" customHeight="1">
      <c r="A507" s="78" t="s">
        <v>988</v>
      </c>
      <c r="B507" s="195" t="s">
        <v>958</v>
      </c>
      <c r="C507" s="196" t="s">
        <v>471</v>
      </c>
      <c r="D507" s="197">
        <v>3</v>
      </c>
      <c r="E507" s="255">
        <f>167*K1</f>
        <v>174.95404299999998</v>
      </c>
      <c r="F507" s="255">
        <f>25*K1</f>
        <v>26.190724999999997</v>
      </c>
      <c r="G507" s="255">
        <f t="shared" si="79"/>
        <v>201.14476799999997</v>
      </c>
      <c r="H507" s="255">
        <f t="shared" si="74"/>
        <v>524.862129</v>
      </c>
      <c r="I507" s="255">
        <f t="shared" si="75"/>
        <v>78.57217499999999</v>
      </c>
      <c r="J507" s="255">
        <f t="shared" si="76"/>
        <v>603.434304</v>
      </c>
      <c r="L507" s="9"/>
      <c r="N507" s="254"/>
    </row>
    <row r="508" spans="1:14" ht="12.75">
      <c r="A508" s="78" t="s">
        <v>989</v>
      </c>
      <c r="B508" s="195" t="s">
        <v>959</v>
      </c>
      <c r="C508" s="196" t="s">
        <v>471</v>
      </c>
      <c r="D508" s="197">
        <v>4</v>
      </c>
      <c r="E508" s="255">
        <f>105*K1</f>
        <v>110.00104499999999</v>
      </c>
      <c r="F508" s="255">
        <f>25*K1</f>
        <v>26.190724999999997</v>
      </c>
      <c r="G508" s="255">
        <f t="shared" si="79"/>
        <v>136.19177</v>
      </c>
      <c r="H508" s="255">
        <f>D508*E508</f>
        <v>440.00417999999996</v>
      </c>
      <c r="I508" s="255">
        <f>D508*F508</f>
        <v>104.76289999999999</v>
      </c>
      <c r="J508" s="255">
        <f>I508+H508</f>
        <v>544.76708</v>
      </c>
      <c r="L508" s="9"/>
      <c r="N508" s="254"/>
    </row>
    <row r="509" spans="1:14" ht="12.75">
      <c r="A509" s="78" t="s">
        <v>990</v>
      </c>
      <c r="B509" s="195" t="s">
        <v>960</v>
      </c>
      <c r="C509" s="196" t="s">
        <v>471</v>
      </c>
      <c r="D509" s="197">
        <v>3</v>
      </c>
      <c r="E509" s="255">
        <f>288*K1</f>
        <v>301.717152</v>
      </c>
      <c r="F509" s="255">
        <f>25*K1</f>
        <v>26.190724999999997</v>
      </c>
      <c r="G509" s="255">
        <f t="shared" si="79"/>
        <v>327.907877</v>
      </c>
      <c r="H509" s="255">
        <f aca="true" t="shared" si="80" ref="H509:H519">D509*E509</f>
        <v>905.151456</v>
      </c>
      <c r="I509" s="255">
        <f aca="true" t="shared" si="81" ref="I509:I519">D509*F509</f>
        <v>78.57217499999999</v>
      </c>
      <c r="J509" s="255">
        <f aca="true" t="shared" si="82" ref="J509:J519">I509+H509</f>
        <v>983.7236310000001</v>
      </c>
      <c r="L509" s="9"/>
      <c r="N509" s="254"/>
    </row>
    <row r="510" spans="1:14" ht="12.75">
      <c r="A510" s="78" t="s">
        <v>991</v>
      </c>
      <c r="B510" s="195" t="s">
        <v>961</v>
      </c>
      <c r="C510" s="196" t="s">
        <v>471</v>
      </c>
      <c r="D510" s="197">
        <v>1</v>
      </c>
      <c r="E510" s="255">
        <f>352*K1</f>
        <v>368.765408</v>
      </c>
      <c r="F510" s="255">
        <f>25*K1</f>
        <v>26.190724999999997</v>
      </c>
      <c r="G510" s="255">
        <f t="shared" si="79"/>
        <v>394.95613299999997</v>
      </c>
      <c r="H510" s="255">
        <f t="shared" si="80"/>
        <v>368.765408</v>
      </c>
      <c r="I510" s="255">
        <f t="shared" si="81"/>
        <v>26.190724999999997</v>
      </c>
      <c r="J510" s="255">
        <f t="shared" si="82"/>
        <v>394.95613299999997</v>
      </c>
      <c r="L510" s="9"/>
      <c r="N510" s="254"/>
    </row>
    <row r="511" spans="1:14" ht="12.75">
      <c r="A511" s="78" t="s">
        <v>992</v>
      </c>
      <c r="B511" s="195" t="s">
        <v>962</v>
      </c>
      <c r="C511" s="196" t="s">
        <v>471</v>
      </c>
      <c r="D511" s="197">
        <v>5</v>
      </c>
      <c r="E511" s="255">
        <f>408*K1</f>
        <v>427.43263199999996</v>
      </c>
      <c r="F511" s="255">
        <f>25*K1</f>
        <v>26.190724999999997</v>
      </c>
      <c r="G511" s="255">
        <f t="shared" si="79"/>
        <v>453.62335699999994</v>
      </c>
      <c r="H511" s="255">
        <f t="shared" si="80"/>
        <v>2137.1631599999996</v>
      </c>
      <c r="I511" s="255">
        <f t="shared" si="81"/>
        <v>130.953625</v>
      </c>
      <c r="J511" s="255">
        <f t="shared" si="82"/>
        <v>2268.1167849999997</v>
      </c>
      <c r="L511" s="9"/>
      <c r="N511" s="254"/>
    </row>
    <row r="512" spans="1:14" ht="12.75">
      <c r="A512" s="78" t="s">
        <v>993</v>
      </c>
      <c r="B512" s="195" t="s">
        <v>963</v>
      </c>
      <c r="C512" s="196" t="s">
        <v>471</v>
      </c>
      <c r="D512" s="197">
        <v>1</v>
      </c>
      <c r="E512" s="255">
        <f>28*K1</f>
        <v>29.333612</v>
      </c>
      <c r="F512" s="255">
        <f>25*K1</f>
        <v>26.190724999999997</v>
      </c>
      <c r="G512" s="255">
        <f t="shared" si="79"/>
        <v>55.524336999999996</v>
      </c>
      <c r="H512" s="255">
        <f t="shared" si="80"/>
        <v>29.333612</v>
      </c>
      <c r="I512" s="255">
        <f t="shared" si="81"/>
        <v>26.190724999999997</v>
      </c>
      <c r="J512" s="255">
        <f t="shared" si="82"/>
        <v>55.524336999999996</v>
      </c>
      <c r="L512" s="9"/>
      <c r="N512" s="254"/>
    </row>
    <row r="513" spans="1:14" ht="12.75">
      <c r="A513" s="78" t="s">
        <v>994</v>
      </c>
      <c r="B513" s="195" t="s">
        <v>964</v>
      </c>
      <c r="C513" s="196" t="s">
        <v>471</v>
      </c>
      <c r="D513" s="197">
        <v>3</v>
      </c>
      <c r="E513" s="255">
        <f>39*K1</f>
        <v>40.857530999999994</v>
      </c>
      <c r="F513" s="255">
        <f>25*K1</f>
        <v>26.190724999999997</v>
      </c>
      <c r="G513" s="255">
        <f t="shared" si="79"/>
        <v>67.048256</v>
      </c>
      <c r="H513" s="255">
        <f t="shared" si="80"/>
        <v>122.57259299999998</v>
      </c>
      <c r="I513" s="255">
        <f t="shared" si="81"/>
        <v>78.57217499999999</v>
      </c>
      <c r="J513" s="255">
        <f t="shared" si="82"/>
        <v>201.14476799999997</v>
      </c>
      <c r="L513" s="9"/>
      <c r="N513" s="254"/>
    </row>
    <row r="514" spans="1:14" ht="12.75">
      <c r="A514" s="78" t="s">
        <v>995</v>
      </c>
      <c r="B514" s="195" t="s">
        <v>965</v>
      </c>
      <c r="C514" s="196" t="s">
        <v>471</v>
      </c>
      <c r="D514" s="197">
        <v>8</v>
      </c>
      <c r="E514" s="255">
        <f>51*K1</f>
        <v>53.429078999999994</v>
      </c>
      <c r="F514" s="255">
        <f>25*K1</f>
        <v>26.190724999999997</v>
      </c>
      <c r="G514" s="255">
        <f t="shared" si="79"/>
        <v>79.61980399999999</v>
      </c>
      <c r="H514" s="255">
        <f t="shared" si="80"/>
        <v>427.43263199999996</v>
      </c>
      <c r="I514" s="255">
        <f t="shared" si="81"/>
        <v>209.52579999999998</v>
      </c>
      <c r="J514" s="255">
        <f t="shared" si="82"/>
        <v>636.9584319999999</v>
      </c>
      <c r="L514" s="9"/>
      <c r="N514" s="254"/>
    </row>
    <row r="515" spans="1:14" ht="12.75">
      <c r="A515" s="78" t="s">
        <v>996</v>
      </c>
      <c r="B515" s="195" t="s">
        <v>966</v>
      </c>
      <c r="C515" s="196" t="s">
        <v>471</v>
      </c>
      <c r="D515" s="197">
        <v>8</v>
      </c>
      <c r="E515" s="255">
        <f>88*K1</f>
        <v>92.191352</v>
      </c>
      <c r="F515" s="255">
        <f>38*K1</f>
        <v>39.809901999999994</v>
      </c>
      <c r="G515" s="255">
        <f t="shared" si="79"/>
        <v>132.001254</v>
      </c>
      <c r="H515" s="255">
        <f t="shared" si="80"/>
        <v>737.530816</v>
      </c>
      <c r="I515" s="255">
        <f t="shared" si="81"/>
        <v>318.47921599999995</v>
      </c>
      <c r="J515" s="255">
        <f t="shared" si="82"/>
        <v>1056.010032</v>
      </c>
      <c r="L515" s="9"/>
      <c r="N515" s="254"/>
    </row>
    <row r="516" spans="1:14" ht="12.75">
      <c r="A516" s="78" t="s">
        <v>997</v>
      </c>
      <c r="B516" s="195" t="s">
        <v>967</v>
      </c>
      <c r="C516" s="196" t="s">
        <v>471</v>
      </c>
      <c r="D516" s="197">
        <v>1</v>
      </c>
      <c r="E516" s="255">
        <f>95*K1</f>
        <v>99.524755</v>
      </c>
      <c r="F516" s="255">
        <f>38*K1</f>
        <v>39.809901999999994</v>
      </c>
      <c r="G516" s="255">
        <f t="shared" si="79"/>
        <v>139.334657</v>
      </c>
      <c r="H516" s="255">
        <f t="shared" si="80"/>
        <v>99.524755</v>
      </c>
      <c r="I516" s="255">
        <f t="shared" si="81"/>
        <v>39.809901999999994</v>
      </c>
      <c r="J516" s="255">
        <f t="shared" si="82"/>
        <v>139.334657</v>
      </c>
      <c r="L516" s="9"/>
      <c r="N516" s="254"/>
    </row>
    <row r="517" spans="1:14" ht="12.75">
      <c r="A517" s="78" t="s">
        <v>998</v>
      </c>
      <c r="B517" s="195" t="s">
        <v>968</v>
      </c>
      <c r="C517" s="196" t="s">
        <v>471</v>
      </c>
      <c r="D517" s="197">
        <v>1</v>
      </c>
      <c r="E517" s="255">
        <f>124*K1</f>
        <v>129.905996</v>
      </c>
      <c r="F517" s="255">
        <f>38*K1</f>
        <v>39.809901999999994</v>
      </c>
      <c r="G517" s="255">
        <f t="shared" si="79"/>
        <v>169.71589799999998</v>
      </c>
      <c r="H517" s="255">
        <f t="shared" si="80"/>
        <v>129.905996</v>
      </c>
      <c r="I517" s="255">
        <f t="shared" si="81"/>
        <v>39.809901999999994</v>
      </c>
      <c r="J517" s="255">
        <f t="shared" si="82"/>
        <v>169.71589799999998</v>
      </c>
      <c r="L517" s="9"/>
      <c r="N517" s="254"/>
    </row>
    <row r="518" spans="1:14" ht="12.75">
      <c r="A518" s="78" t="s">
        <v>999</v>
      </c>
      <c r="B518" s="195" t="s">
        <v>969</v>
      </c>
      <c r="C518" s="196" t="s">
        <v>471</v>
      </c>
      <c r="D518" s="197">
        <v>3</v>
      </c>
      <c r="E518" s="255">
        <f>145*K1</f>
        <v>151.906205</v>
      </c>
      <c r="F518" s="255">
        <f>38*K1</f>
        <v>39.809901999999994</v>
      </c>
      <c r="G518" s="255">
        <f t="shared" si="79"/>
        <v>191.716107</v>
      </c>
      <c r="H518" s="255">
        <f t="shared" si="80"/>
        <v>455.718615</v>
      </c>
      <c r="I518" s="255">
        <f t="shared" si="81"/>
        <v>119.42970599999998</v>
      </c>
      <c r="J518" s="255">
        <f t="shared" si="82"/>
        <v>575.148321</v>
      </c>
      <c r="L518" s="9"/>
      <c r="N518" s="254"/>
    </row>
    <row r="519" spans="1:14" ht="12.75">
      <c r="A519" s="78" t="s">
        <v>1000</v>
      </c>
      <c r="B519" s="195" t="s">
        <v>970</v>
      </c>
      <c r="C519" s="196" t="s">
        <v>471</v>
      </c>
      <c r="D519" s="197">
        <v>2</v>
      </c>
      <c r="E519" s="255">
        <f>151*K1</f>
        <v>158.19197899999998</v>
      </c>
      <c r="F519" s="255">
        <f>38*K1</f>
        <v>39.809901999999994</v>
      </c>
      <c r="G519" s="255">
        <f t="shared" si="79"/>
        <v>198.00188099999997</v>
      </c>
      <c r="H519" s="255">
        <f t="shared" si="80"/>
        <v>316.38395799999995</v>
      </c>
      <c r="I519" s="255">
        <f t="shared" si="81"/>
        <v>79.61980399999999</v>
      </c>
      <c r="J519" s="255">
        <f t="shared" si="82"/>
        <v>396.00376199999994</v>
      </c>
      <c r="L519" s="9"/>
      <c r="N519" s="254"/>
    </row>
    <row r="520" spans="1:14" ht="12.75">
      <c r="A520" s="78" t="s">
        <v>1001</v>
      </c>
      <c r="B520" s="195" t="s">
        <v>971</v>
      </c>
      <c r="C520" s="196" t="s">
        <v>471</v>
      </c>
      <c r="D520" s="197">
        <v>1</v>
      </c>
      <c r="E520" s="255">
        <f>177*K1</f>
        <v>185.430333</v>
      </c>
      <c r="F520" s="255">
        <f>38*K1</f>
        <v>39.809901999999994</v>
      </c>
      <c r="G520" s="255">
        <f t="shared" si="79"/>
        <v>225.24023499999998</v>
      </c>
      <c r="H520" s="255">
        <f>D520*E520</f>
        <v>185.430333</v>
      </c>
      <c r="I520" s="255">
        <f>D520*F520</f>
        <v>39.809901999999994</v>
      </c>
      <c r="J520" s="255">
        <f>I520+H520</f>
        <v>225.24023499999998</v>
      </c>
      <c r="L520" s="9"/>
      <c r="N520" s="254"/>
    </row>
    <row r="521" spans="1:14" ht="12.75">
      <c r="A521" s="78" t="s">
        <v>1002</v>
      </c>
      <c r="B521" s="195" t="s">
        <v>972</v>
      </c>
      <c r="C521" s="196" t="s">
        <v>471</v>
      </c>
      <c r="D521" s="197">
        <v>1</v>
      </c>
      <c r="E521" s="255">
        <f>233*K1</f>
        <v>244.097557</v>
      </c>
      <c r="F521" s="255">
        <f>55*K1</f>
        <v>57.619595</v>
      </c>
      <c r="G521" s="255">
        <f t="shared" si="79"/>
        <v>301.717152</v>
      </c>
      <c r="H521" s="255">
        <f>D521*E521</f>
        <v>244.097557</v>
      </c>
      <c r="I521" s="255">
        <f>D521*F521</f>
        <v>57.619595</v>
      </c>
      <c r="J521" s="255">
        <f>I521+H521</f>
        <v>301.717152</v>
      </c>
      <c r="L521" s="9"/>
      <c r="N521" s="254"/>
    </row>
    <row r="522" spans="1:14" ht="12.75">
      <c r="A522" s="78" t="s">
        <v>1003</v>
      </c>
      <c r="B522" s="195" t="s">
        <v>973</v>
      </c>
      <c r="C522" s="196" t="s">
        <v>471</v>
      </c>
      <c r="D522" s="197">
        <v>3</v>
      </c>
      <c r="E522" s="255">
        <f>345*K1</f>
        <v>361.43200499999995</v>
      </c>
      <c r="F522" s="255">
        <f>55*K1</f>
        <v>57.619595</v>
      </c>
      <c r="G522" s="255">
        <f t="shared" si="79"/>
        <v>419.05159999999995</v>
      </c>
      <c r="H522" s="255">
        <f>D522*E522</f>
        <v>1084.296015</v>
      </c>
      <c r="I522" s="255">
        <f>D522*F522</f>
        <v>172.85878499999998</v>
      </c>
      <c r="J522" s="255">
        <f>I522+H522</f>
        <v>1257.1547999999998</v>
      </c>
      <c r="L522" s="9"/>
      <c r="N522" s="254"/>
    </row>
    <row r="523" spans="1:14" ht="12.75">
      <c r="A523" s="78" t="s">
        <v>1004</v>
      </c>
      <c r="B523" s="195" t="s">
        <v>974</v>
      </c>
      <c r="C523" s="196" t="s">
        <v>471</v>
      </c>
      <c r="D523" s="197">
        <v>1</v>
      </c>
      <c r="E523" s="255">
        <f>404*K1</f>
        <v>423.24211599999995</v>
      </c>
      <c r="F523" s="255">
        <f>55*K1</f>
        <v>57.619595</v>
      </c>
      <c r="G523" s="255">
        <f t="shared" si="79"/>
        <v>480.86171099999996</v>
      </c>
      <c r="H523" s="255">
        <f>D523*E523</f>
        <v>423.24211599999995</v>
      </c>
      <c r="I523" s="255">
        <f>D523*F523</f>
        <v>57.619595</v>
      </c>
      <c r="J523" s="255">
        <f>I523+H523</f>
        <v>480.86171099999996</v>
      </c>
      <c r="L523" s="9"/>
      <c r="N523" s="254"/>
    </row>
    <row r="524" spans="1:14" ht="12.75">
      <c r="A524" s="78" t="s">
        <v>1005</v>
      </c>
      <c r="B524" s="195" t="s">
        <v>975</v>
      </c>
      <c r="C524" s="196" t="s">
        <v>471</v>
      </c>
      <c r="D524" s="197">
        <v>8</v>
      </c>
      <c r="E524" s="255">
        <f>86*K1</f>
        <v>90.096094</v>
      </c>
      <c r="F524" s="255">
        <f>70*K1</f>
        <v>73.33403</v>
      </c>
      <c r="G524" s="255">
        <f>E524+F524</f>
        <v>163.43012399999998</v>
      </c>
      <c r="H524" s="255">
        <f>D524*E524</f>
        <v>720.768752</v>
      </c>
      <c r="I524" s="255">
        <f>D524*F524</f>
        <v>586.67224</v>
      </c>
      <c r="J524" s="255">
        <f>I524+H524</f>
        <v>1307.4409919999998</v>
      </c>
      <c r="K524" s="1"/>
      <c r="L524" s="9"/>
      <c r="N524" s="254"/>
    </row>
    <row r="525" spans="1:14" ht="12.75">
      <c r="A525" s="155" t="s">
        <v>1006</v>
      </c>
      <c r="B525" s="153" t="s">
        <v>888</v>
      </c>
      <c r="C525" s="80"/>
      <c r="D525" s="199"/>
      <c r="E525" s="199"/>
      <c r="F525" s="199"/>
      <c r="G525" s="199"/>
      <c r="H525" s="199"/>
      <c r="I525" s="199"/>
      <c r="J525" s="199"/>
      <c r="K525" s="1"/>
      <c r="L525" s="9"/>
      <c r="N525" s="254"/>
    </row>
    <row r="526" spans="1:14" ht="24">
      <c r="A526" s="78" t="s">
        <v>1013</v>
      </c>
      <c r="B526" s="195" t="s">
        <v>1007</v>
      </c>
      <c r="C526" s="196" t="s">
        <v>471</v>
      </c>
      <c r="D526" s="197">
        <v>14</v>
      </c>
      <c r="E526" s="255">
        <f>10*K1</f>
        <v>10.476289999999999</v>
      </c>
      <c r="F526" s="255">
        <f>12*K1</f>
        <v>12.571548</v>
      </c>
      <c r="G526" s="255">
        <f aca="true" t="shared" si="83" ref="G526:G535">F526+E526</f>
        <v>23.047838</v>
      </c>
      <c r="H526" s="255">
        <f aca="true" t="shared" si="84" ref="H526:H545">D526*E526</f>
        <v>146.66805999999997</v>
      </c>
      <c r="I526" s="255">
        <f aca="true" t="shared" si="85" ref="I526:I545">D526*F526</f>
        <v>176.00167199999999</v>
      </c>
      <c r="J526" s="255">
        <f aca="true" t="shared" si="86" ref="J526:J545">I526+H526</f>
        <v>322.66973199999995</v>
      </c>
      <c r="L526" s="9"/>
      <c r="N526" s="254"/>
    </row>
    <row r="527" spans="1:14" ht="24">
      <c r="A527" s="78" t="s">
        <v>1014</v>
      </c>
      <c r="B527" s="195" t="s">
        <v>1008</v>
      </c>
      <c r="C527" s="196" t="s">
        <v>471</v>
      </c>
      <c r="D527" s="197">
        <v>34</v>
      </c>
      <c r="E527" s="255">
        <f>8*K1</f>
        <v>8.381032</v>
      </c>
      <c r="F527" s="255">
        <f>12*K1</f>
        <v>12.571548</v>
      </c>
      <c r="G527" s="255">
        <f t="shared" si="83"/>
        <v>20.952579999999998</v>
      </c>
      <c r="H527" s="255">
        <f t="shared" si="84"/>
        <v>284.955088</v>
      </c>
      <c r="I527" s="255">
        <f t="shared" si="85"/>
        <v>427.432632</v>
      </c>
      <c r="J527" s="255">
        <f t="shared" si="86"/>
        <v>712.38772</v>
      </c>
      <c r="L527" s="9"/>
      <c r="N527" s="254"/>
    </row>
    <row r="528" spans="1:14" ht="24">
      <c r="A528" s="78" t="s">
        <v>1015</v>
      </c>
      <c r="B528" s="195" t="s">
        <v>1009</v>
      </c>
      <c r="C528" s="196" t="s">
        <v>471</v>
      </c>
      <c r="D528" s="197">
        <v>16</v>
      </c>
      <c r="E528" s="255">
        <f>45*K1</f>
        <v>47.143305</v>
      </c>
      <c r="F528" s="255">
        <f>146*K1</f>
        <v>152.953834</v>
      </c>
      <c r="G528" s="255">
        <f t="shared" si="83"/>
        <v>200.097139</v>
      </c>
      <c r="H528" s="255">
        <f t="shared" si="84"/>
        <v>754.29288</v>
      </c>
      <c r="I528" s="255">
        <f t="shared" si="85"/>
        <v>2447.261344</v>
      </c>
      <c r="J528" s="255">
        <f t="shared" si="86"/>
        <v>3201.554224</v>
      </c>
      <c r="L528" s="9"/>
      <c r="N528" s="254"/>
    </row>
    <row r="529" spans="1:14" ht="12.75" customHeight="1">
      <c r="A529" s="78" t="s">
        <v>1016</v>
      </c>
      <c r="B529" s="195" t="s">
        <v>1010</v>
      </c>
      <c r="C529" s="196" t="s">
        <v>471</v>
      </c>
      <c r="D529" s="197">
        <v>14</v>
      </c>
      <c r="E529" s="255">
        <f>98*K1</f>
        <v>102.66764199999999</v>
      </c>
      <c r="F529" s="255">
        <f>80*K1</f>
        <v>83.81031999999999</v>
      </c>
      <c r="G529" s="255">
        <f t="shared" si="83"/>
        <v>186.477962</v>
      </c>
      <c r="H529" s="255">
        <f t="shared" si="84"/>
        <v>1437.3469879999998</v>
      </c>
      <c r="I529" s="255">
        <f t="shared" si="85"/>
        <v>1173.3444799999997</v>
      </c>
      <c r="J529" s="255">
        <f t="shared" si="86"/>
        <v>2610.6914679999995</v>
      </c>
      <c r="L529" s="9"/>
      <c r="N529" s="254"/>
    </row>
    <row r="530" spans="1:14" ht="24">
      <c r="A530" s="78" t="s">
        <v>1017</v>
      </c>
      <c r="B530" s="195" t="s">
        <v>1011</v>
      </c>
      <c r="C530" s="196" t="s">
        <v>471</v>
      </c>
      <c r="D530" s="197">
        <v>3</v>
      </c>
      <c r="E530" s="255">
        <f>125*K1</f>
        <v>130.953625</v>
      </c>
      <c r="F530" s="255">
        <f>95*K1</f>
        <v>99.524755</v>
      </c>
      <c r="G530" s="255">
        <f t="shared" si="83"/>
        <v>230.47838</v>
      </c>
      <c r="H530" s="255">
        <f t="shared" si="84"/>
        <v>392.86087499999996</v>
      </c>
      <c r="I530" s="255">
        <f t="shared" si="85"/>
        <v>298.57426499999997</v>
      </c>
      <c r="J530" s="255">
        <f t="shared" si="86"/>
        <v>691.4351399999999</v>
      </c>
      <c r="L530" s="9"/>
      <c r="N530" s="254"/>
    </row>
    <row r="531" spans="1:14" ht="12.75">
      <c r="A531" s="78" t="s">
        <v>1018</v>
      </c>
      <c r="B531" s="195" t="s">
        <v>1012</v>
      </c>
      <c r="C531" s="196" t="s">
        <v>471</v>
      </c>
      <c r="D531" s="197">
        <v>21</v>
      </c>
      <c r="E531" s="255">
        <f>86*K1</f>
        <v>90.096094</v>
      </c>
      <c r="F531" s="255">
        <f>200*K1</f>
        <v>209.52579999999998</v>
      </c>
      <c r="G531" s="255">
        <f t="shared" si="83"/>
        <v>299.621894</v>
      </c>
      <c r="H531" s="255">
        <f t="shared" si="84"/>
        <v>1892.0179739999999</v>
      </c>
      <c r="I531" s="255">
        <f t="shared" si="85"/>
        <v>4400.041799999999</v>
      </c>
      <c r="J531" s="255">
        <f t="shared" si="86"/>
        <v>6292.059773999999</v>
      </c>
      <c r="L531" s="9"/>
      <c r="N531" s="254"/>
    </row>
    <row r="532" spans="1:14" ht="12.75">
      <c r="A532" s="78" t="s">
        <v>1019</v>
      </c>
      <c r="B532" s="195" t="s">
        <v>893</v>
      </c>
      <c r="C532" s="196" t="s">
        <v>49</v>
      </c>
      <c r="D532" s="197">
        <v>36</v>
      </c>
      <c r="E532" s="255">
        <f>51*K1</f>
        <v>53.429078999999994</v>
      </c>
      <c r="F532" s="255">
        <f>53.16*K1</f>
        <v>55.69195763999999</v>
      </c>
      <c r="G532" s="255">
        <f t="shared" si="83"/>
        <v>109.12103663999999</v>
      </c>
      <c r="H532" s="255">
        <f t="shared" si="84"/>
        <v>1923.4468439999998</v>
      </c>
      <c r="I532" s="255">
        <f t="shared" si="85"/>
        <v>2004.9104750399997</v>
      </c>
      <c r="J532" s="255">
        <f t="shared" si="86"/>
        <v>3928.3573190399993</v>
      </c>
      <c r="L532" s="9"/>
      <c r="N532" s="254"/>
    </row>
    <row r="533" spans="1:14" ht="12.75">
      <c r="A533" s="78" t="s">
        <v>1020</v>
      </c>
      <c r="B533" s="195" t="s">
        <v>894</v>
      </c>
      <c r="C533" s="196" t="s">
        <v>49</v>
      </c>
      <c r="D533" s="197">
        <v>24</v>
      </c>
      <c r="E533" s="255">
        <f>51*K1</f>
        <v>53.429078999999994</v>
      </c>
      <c r="F533" s="255">
        <f>105*K1</f>
        <v>110.00104499999999</v>
      </c>
      <c r="G533" s="255">
        <f t="shared" si="83"/>
        <v>163.43012399999998</v>
      </c>
      <c r="H533" s="255">
        <f t="shared" si="84"/>
        <v>1282.2978959999998</v>
      </c>
      <c r="I533" s="255">
        <f t="shared" si="85"/>
        <v>2640.02508</v>
      </c>
      <c r="J533" s="255">
        <f t="shared" si="86"/>
        <v>3922.3229759999995</v>
      </c>
      <c r="L533" s="9"/>
      <c r="N533" s="254"/>
    </row>
    <row r="534" spans="1:14" ht="12.75">
      <c r="A534" s="78" t="s">
        <v>1021</v>
      </c>
      <c r="B534" s="195" t="s">
        <v>895</v>
      </c>
      <c r="C534" s="196" t="s">
        <v>903</v>
      </c>
      <c r="D534" s="197">
        <v>16</v>
      </c>
      <c r="E534" s="255">
        <v>0</v>
      </c>
      <c r="F534" s="255">
        <f>72*K1</f>
        <v>75.429288</v>
      </c>
      <c r="G534" s="255">
        <f t="shared" si="83"/>
        <v>75.429288</v>
      </c>
      <c r="H534" s="255">
        <f t="shared" si="84"/>
        <v>0</v>
      </c>
      <c r="I534" s="255">
        <f t="shared" si="85"/>
        <v>1206.868608</v>
      </c>
      <c r="J534" s="255">
        <f t="shared" si="86"/>
        <v>1206.868608</v>
      </c>
      <c r="L534" s="9"/>
      <c r="N534" s="254"/>
    </row>
    <row r="535" spans="1:14" ht="12.75">
      <c r="A535" s="78" t="s">
        <v>1022</v>
      </c>
      <c r="B535" s="195" t="s">
        <v>896</v>
      </c>
      <c r="C535" s="196" t="s">
        <v>903</v>
      </c>
      <c r="D535" s="197">
        <v>8</v>
      </c>
      <c r="E535" s="255">
        <v>0</v>
      </c>
      <c r="F535" s="255">
        <f>156*K1</f>
        <v>163.43012399999998</v>
      </c>
      <c r="G535" s="255">
        <f t="shared" si="83"/>
        <v>163.43012399999998</v>
      </c>
      <c r="H535" s="255">
        <f t="shared" si="84"/>
        <v>0</v>
      </c>
      <c r="I535" s="255">
        <f t="shared" si="85"/>
        <v>1307.4409919999998</v>
      </c>
      <c r="J535" s="255">
        <f t="shared" si="86"/>
        <v>1307.4409919999998</v>
      </c>
      <c r="K535" s="1"/>
      <c r="L535" s="9"/>
      <c r="N535" s="254"/>
    </row>
    <row r="536" spans="1:14" ht="12.75">
      <c r="A536" s="72">
        <v>17</v>
      </c>
      <c r="B536" s="77" t="s">
        <v>30</v>
      </c>
      <c r="C536" s="171"/>
      <c r="D536" s="205"/>
      <c r="E536" s="205"/>
      <c r="F536" s="205"/>
      <c r="G536" s="205"/>
      <c r="H536" s="205"/>
      <c r="I536" s="205"/>
      <c r="J536" s="206"/>
      <c r="K536" s="1"/>
      <c r="L536" s="9"/>
      <c r="N536" s="254"/>
    </row>
    <row r="537" spans="1:14" ht="12.75">
      <c r="A537" s="78" t="s">
        <v>1027</v>
      </c>
      <c r="B537" s="152" t="s">
        <v>1023</v>
      </c>
      <c r="C537" s="196" t="s">
        <v>50</v>
      </c>
      <c r="D537" s="197">
        <v>5467.75</v>
      </c>
      <c r="E537" s="255">
        <v>0</v>
      </c>
      <c r="F537" s="255">
        <f>8.37*K1</f>
        <v>8.768654729999998</v>
      </c>
      <c r="G537" s="255">
        <f>F537+E537</f>
        <v>8.768654729999998</v>
      </c>
      <c r="H537" s="255">
        <v>0</v>
      </c>
      <c r="I537" s="255">
        <f t="shared" si="85"/>
        <v>47944.81189995749</v>
      </c>
      <c r="J537" s="255">
        <f t="shared" si="86"/>
        <v>47944.81189995749</v>
      </c>
      <c r="L537" s="9"/>
      <c r="N537" s="254"/>
    </row>
    <row r="538" spans="1:14" ht="51">
      <c r="A538" s="78" t="s">
        <v>1028</v>
      </c>
      <c r="B538" s="152" t="s">
        <v>1057</v>
      </c>
      <c r="C538" s="196" t="s">
        <v>171</v>
      </c>
      <c r="D538" s="197">
        <v>1</v>
      </c>
      <c r="E538" s="255">
        <f>61037.67*K1</f>
        <v>63944.83318442999</v>
      </c>
      <c r="F538" s="255">
        <v>0</v>
      </c>
      <c r="G538" s="255">
        <f aca="true" t="shared" si="87" ref="G538:G545">F538+E538</f>
        <v>63944.83318442999</v>
      </c>
      <c r="H538" s="255">
        <f>D538*G538</f>
        <v>63944.83318442999</v>
      </c>
      <c r="I538" s="255">
        <f t="shared" si="85"/>
        <v>0</v>
      </c>
      <c r="J538" s="255">
        <f t="shared" si="86"/>
        <v>63944.83318442999</v>
      </c>
      <c r="L538" s="9"/>
      <c r="N538" s="254"/>
    </row>
    <row r="539" spans="1:14" ht="12.75">
      <c r="A539" s="78" t="s">
        <v>1029</v>
      </c>
      <c r="B539" s="162" t="s">
        <v>1024</v>
      </c>
      <c r="C539" s="196" t="s">
        <v>50</v>
      </c>
      <c r="D539" s="197">
        <v>3827.24</v>
      </c>
      <c r="E539" s="255">
        <f>4.9*K1</f>
        <v>5.1333821</v>
      </c>
      <c r="F539" s="258">
        <f>2.72*K1</f>
        <v>2.84955088</v>
      </c>
      <c r="G539" s="255">
        <v>7.98</v>
      </c>
      <c r="H539" s="255">
        <f>D539*E539</f>
        <v>19646.685308404</v>
      </c>
      <c r="I539" s="255">
        <f>D539*F539</f>
        <v>10905.915109971198</v>
      </c>
      <c r="J539" s="255">
        <f t="shared" si="86"/>
        <v>30552.6004183752</v>
      </c>
      <c r="L539" s="9"/>
      <c r="N539" s="254"/>
    </row>
    <row r="540" spans="1:14" ht="12.75">
      <c r="A540" s="78" t="s">
        <v>1030</v>
      </c>
      <c r="B540" s="152" t="s">
        <v>1025</v>
      </c>
      <c r="C540" s="196" t="s">
        <v>50</v>
      </c>
      <c r="D540" s="197">
        <v>157.45</v>
      </c>
      <c r="E540" s="255">
        <f>379.68*K1</f>
        <v>397.76377872</v>
      </c>
      <c r="F540" s="255">
        <f>52.88*K1</f>
        <v>55.39862152</v>
      </c>
      <c r="G540" s="255">
        <f t="shared" si="87"/>
        <v>453.16240024</v>
      </c>
      <c r="H540" s="255">
        <f>E540*D540</f>
        <v>62627.906959463995</v>
      </c>
      <c r="I540" s="255">
        <f t="shared" si="85"/>
        <v>8722.512958324</v>
      </c>
      <c r="J540" s="255">
        <f>I540+H540</f>
        <v>71350.419917788</v>
      </c>
      <c r="L540" s="9"/>
      <c r="N540" s="254"/>
    </row>
    <row r="541" spans="1:14" ht="25.5">
      <c r="A541" s="78" t="s">
        <v>1031</v>
      </c>
      <c r="B541" s="150" t="s">
        <v>1026</v>
      </c>
      <c r="C541" s="196" t="s">
        <v>50</v>
      </c>
      <c r="D541" s="197">
        <v>117</v>
      </c>
      <c r="E541" s="255">
        <f>305.8*K1</f>
        <v>320.3649482</v>
      </c>
      <c r="F541" s="255">
        <f>17.18*K1</f>
        <v>17.998266219999998</v>
      </c>
      <c r="G541" s="255">
        <f t="shared" si="87"/>
        <v>338.36321442</v>
      </c>
      <c r="H541" s="255">
        <f>D541*E541</f>
        <v>37482.698939400005</v>
      </c>
      <c r="I541" s="255">
        <f t="shared" si="85"/>
        <v>2105.7971477399997</v>
      </c>
      <c r="J541" s="255">
        <f t="shared" si="86"/>
        <v>39588.49608714</v>
      </c>
      <c r="L541" s="9"/>
      <c r="N541" s="254"/>
    </row>
    <row r="542" spans="1:14" ht="12.75">
      <c r="A542" s="155" t="s">
        <v>1032</v>
      </c>
      <c r="B542" s="153" t="s">
        <v>1033</v>
      </c>
      <c r="C542" s="80"/>
      <c r="D542" s="199"/>
      <c r="E542" s="199"/>
      <c r="F542" s="199"/>
      <c r="G542" s="255"/>
      <c r="H542" s="199"/>
      <c r="I542" s="199"/>
      <c r="J542" s="199"/>
      <c r="L542" s="9"/>
      <c r="N542" s="254"/>
    </row>
    <row r="543" spans="1:14" ht="25.5">
      <c r="A543" s="78" t="s">
        <v>1034</v>
      </c>
      <c r="B543" s="152" t="s">
        <v>1035</v>
      </c>
      <c r="C543" s="196" t="s">
        <v>49</v>
      </c>
      <c r="D543" s="197">
        <v>6</v>
      </c>
      <c r="E543" s="255">
        <f>11.05*K1</f>
        <v>11.57630045</v>
      </c>
      <c r="F543" s="255">
        <f>0.87*K1</f>
        <v>0.9114372299999999</v>
      </c>
      <c r="G543" s="255">
        <f t="shared" si="87"/>
        <v>12.48773768</v>
      </c>
      <c r="H543" s="255">
        <f t="shared" si="84"/>
        <v>69.4578027</v>
      </c>
      <c r="I543" s="255">
        <f t="shared" si="85"/>
        <v>5.4686233799999995</v>
      </c>
      <c r="J543" s="255">
        <f t="shared" si="86"/>
        <v>74.92642608</v>
      </c>
      <c r="L543" s="9"/>
      <c r="N543" s="254"/>
    </row>
    <row r="544" spans="1:14" ht="25.5">
      <c r="A544" s="78" t="s">
        <v>1037</v>
      </c>
      <c r="B544" s="152" t="s">
        <v>1036</v>
      </c>
      <c r="C544" s="196" t="s">
        <v>49</v>
      </c>
      <c r="D544" s="197">
        <v>6</v>
      </c>
      <c r="E544" s="255">
        <f>19.54*K1</f>
        <v>20.470670659999996</v>
      </c>
      <c r="F544" s="255">
        <f>0.87*K1</f>
        <v>0.9114372299999999</v>
      </c>
      <c r="G544" s="255">
        <f t="shared" si="87"/>
        <v>21.382107889999997</v>
      </c>
      <c r="H544" s="255">
        <f t="shared" si="84"/>
        <v>122.82402395999998</v>
      </c>
      <c r="I544" s="255">
        <f t="shared" si="85"/>
        <v>5.4686233799999995</v>
      </c>
      <c r="J544" s="255">
        <f t="shared" si="86"/>
        <v>128.29264733999997</v>
      </c>
      <c r="L544" s="9"/>
      <c r="N544" s="254"/>
    </row>
    <row r="545" spans="1:14" ht="12.75">
      <c r="A545" s="78" t="s">
        <v>1038</v>
      </c>
      <c r="B545" s="151" t="s">
        <v>27</v>
      </c>
      <c r="C545" s="158" t="s">
        <v>50</v>
      </c>
      <c r="D545" s="200">
        <v>80</v>
      </c>
      <c r="E545" s="201">
        <f>7.25*K1</f>
        <v>7.59531025</v>
      </c>
      <c r="F545" s="201">
        <f>4.16*K1</f>
        <v>4.35813664</v>
      </c>
      <c r="G545" s="255">
        <f t="shared" si="87"/>
        <v>11.953446889999999</v>
      </c>
      <c r="H545" s="199">
        <f t="shared" si="84"/>
        <v>607.62482</v>
      </c>
      <c r="I545" s="199">
        <f t="shared" si="85"/>
        <v>348.65093119999995</v>
      </c>
      <c r="J545" s="199">
        <f t="shared" si="86"/>
        <v>956.2757512</v>
      </c>
      <c r="K545" s="1"/>
      <c r="L545" s="9"/>
      <c r="N545" s="254"/>
    </row>
    <row r="546" spans="1:14" ht="12.75" customHeight="1">
      <c r="A546" s="81"/>
      <c r="B546" s="82"/>
      <c r="C546" s="83"/>
      <c r="D546" s="220"/>
      <c r="E546" s="220"/>
      <c r="F546" s="220"/>
      <c r="G546" s="220"/>
      <c r="H546" s="220"/>
      <c r="I546" s="220"/>
      <c r="J546" s="221"/>
      <c r="K546" s="10"/>
      <c r="N546" s="254"/>
    </row>
    <row r="547" spans="1:14" ht="12.75" customHeight="1">
      <c r="A547" s="105"/>
      <c r="B547" s="106" t="s">
        <v>1045</v>
      </c>
      <c r="C547" s="107"/>
      <c r="D547" s="107"/>
      <c r="E547" s="108"/>
      <c r="F547" s="108"/>
      <c r="G547" s="108"/>
      <c r="H547" s="222">
        <f>SUM(H11:H545)</f>
        <v>6317818.164750187</v>
      </c>
      <c r="I547" s="222">
        <f>SUM(I11:I545)</f>
        <v>4374969.875898034</v>
      </c>
      <c r="J547" s="125"/>
      <c r="K547" s="12"/>
      <c r="N547" s="254"/>
    </row>
    <row r="548" spans="1:14" ht="12.75" customHeight="1">
      <c r="A548" s="84"/>
      <c r="B548" s="85"/>
      <c r="C548" s="85"/>
      <c r="D548" s="85"/>
      <c r="E548" s="86"/>
      <c r="F548" s="86"/>
      <c r="G548" s="86"/>
      <c r="H548" s="87"/>
      <c r="I548" s="88"/>
      <c r="J548" s="126"/>
      <c r="K548" s="12"/>
      <c r="N548" s="254"/>
    </row>
    <row r="549" spans="1:14" ht="12.75" customHeight="1">
      <c r="A549" s="105"/>
      <c r="B549" s="106" t="s">
        <v>14</v>
      </c>
      <c r="C549" s="223">
        <v>0.245</v>
      </c>
      <c r="D549" s="107"/>
      <c r="E549" s="108"/>
      <c r="F549" s="108"/>
      <c r="G549" s="108"/>
      <c r="H549" s="222">
        <f>H547*C549</f>
        <v>1547865.4503637957</v>
      </c>
      <c r="I549" s="222">
        <f>I547*C549</f>
        <v>1071867.6195950184</v>
      </c>
      <c r="J549" s="125"/>
      <c r="K549" s="10"/>
      <c r="N549" s="254"/>
    </row>
    <row r="550" spans="1:14" ht="12.75" customHeight="1">
      <c r="A550" s="89"/>
      <c r="B550" s="90"/>
      <c r="C550" s="91"/>
      <c r="D550" s="92"/>
      <c r="E550" s="93"/>
      <c r="F550" s="93"/>
      <c r="G550" s="93"/>
      <c r="H550" s="94"/>
      <c r="I550" s="94"/>
      <c r="J550" s="127"/>
      <c r="K550" s="12"/>
      <c r="N550" s="254"/>
    </row>
    <row r="551" spans="1:14" ht="12.75" customHeight="1">
      <c r="A551" s="95"/>
      <c r="B551" s="96" t="s">
        <v>6</v>
      </c>
      <c r="C551" s="97"/>
      <c r="D551" s="98"/>
      <c r="E551" s="99"/>
      <c r="F551" s="99"/>
      <c r="G551" s="99"/>
      <c r="H551" s="109"/>
      <c r="I551" s="224">
        <f>H547+I547+H549+I549</f>
        <v>13312521.110607037</v>
      </c>
      <c r="J551" s="128"/>
      <c r="K551" s="10"/>
      <c r="N551" s="254"/>
    </row>
    <row r="552" spans="1:14" ht="12.75" customHeight="1">
      <c r="A552" s="100" t="s">
        <v>13</v>
      </c>
      <c r="B552" s="101"/>
      <c r="C552" s="102"/>
      <c r="D552" s="103"/>
      <c r="E552" s="104"/>
      <c r="F552" s="104"/>
      <c r="G552" s="104"/>
      <c r="H552" s="104"/>
      <c r="I552" s="104"/>
      <c r="J552" s="129"/>
      <c r="K552" s="10"/>
      <c r="N552" s="254"/>
    </row>
    <row r="553" spans="5:14" ht="12.75" customHeight="1">
      <c r="E553" s="259"/>
      <c r="F553" s="259"/>
      <c r="G553" s="259"/>
      <c r="H553" s="259"/>
      <c r="I553" s="259"/>
      <c r="J553" s="260"/>
      <c r="K553" s="10"/>
      <c r="N553" s="254"/>
    </row>
    <row r="554" spans="5:14" ht="12.75" customHeight="1">
      <c r="E554" s="259"/>
      <c r="F554" s="259"/>
      <c r="G554" s="259"/>
      <c r="H554" s="259"/>
      <c r="I554" s="259"/>
      <c r="J554" s="261"/>
      <c r="K554" s="12"/>
      <c r="N554" s="254"/>
    </row>
    <row r="555" spans="5:14" ht="12.75" customHeight="1">
      <c r="E555" s="259"/>
      <c r="F555" s="259"/>
      <c r="G555" s="259"/>
      <c r="H555" s="259"/>
      <c r="I555" s="262"/>
      <c r="J555" s="261"/>
      <c r="K555" s="10"/>
      <c r="N555" s="254"/>
    </row>
    <row r="556" spans="5:14" ht="12.75" customHeight="1">
      <c r="E556" s="259"/>
      <c r="F556" s="259"/>
      <c r="G556" s="259"/>
      <c r="H556" s="259"/>
      <c r="I556" s="263"/>
      <c r="J556" s="261"/>
      <c r="K556" s="12"/>
      <c r="N556" s="254"/>
    </row>
    <row r="557" spans="5:14" ht="12.75" customHeight="1">
      <c r="E557" s="259"/>
      <c r="F557" s="259"/>
      <c r="G557" s="259"/>
      <c r="H557" s="259"/>
      <c r="I557" s="259"/>
      <c r="J557" s="261"/>
      <c r="K557" s="12"/>
      <c r="N557" s="254"/>
    </row>
    <row r="558" spans="5:14" ht="12.75" customHeight="1">
      <c r="E558" s="259"/>
      <c r="F558" s="259"/>
      <c r="G558" s="259"/>
      <c r="H558" s="259"/>
      <c r="I558" s="259"/>
      <c r="J558" s="261"/>
      <c r="K558" s="253"/>
      <c r="N558" s="254"/>
    </row>
    <row r="559" spans="5:14" ht="12.75" customHeight="1">
      <c r="E559" s="259"/>
      <c r="F559" s="259"/>
      <c r="G559" s="259"/>
      <c r="H559" s="259"/>
      <c r="I559" s="259"/>
      <c r="J559" s="264"/>
      <c r="K559" s="10"/>
      <c r="N559" s="254"/>
    </row>
    <row r="560" spans="5:14" ht="12.75" customHeight="1">
      <c r="E560" s="259"/>
      <c r="F560" s="259"/>
      <c r="G560" s="259"/>
      <c r="H560" s="259"/>
      <c r="I560" s="259"/>
      <c r="J560" s="265"/>
      <c r="K560" s="10"/>
      <c r="N560" s="254"/>
    </row>
    <row r="561" spans="5:14" ht="12.75" customHeight="1">
      <c r="E561" s="259"/>
      <c r="F561" s="259"/>
      <c r="G561" s="259"/>
      <c r="H561" s="259"/>
      <c r="I561" s="259"/>
      <c r="J561" s="261"/>
      <c r="K561" s="10"/>
      <c r="N561" s="254"/>
    </row>
    <row r="562" spans="5:14" ht="12.75" customHeight="1">
      <c r="E562" s="259"/>
      <c r="F562" s="259"/>
      <c r="G562" s="259"/>
      <c r="H562" s="262"/>
      <c r="I562" s="259"/>
      <c r="J562" s="261"/>
      <c r="K562" s="10"/>
      <c r="N562" s="254"/>
    </row>
    <row r="563" spans="5:14" ht="12.75" customHeight="1">
      <c r="E563" s="259"/>
      <c r="F563" s="259"/>
      <c r="G563" s="259"/>
      <c r="H563" s="259"/>
      <c r="I563" s="259"/>
      <c r="J563" s="261"/>
      <c r="K563" s="10"/>
      <c r="N563" s="254"/>
    </row>
    <row r="564" spans="5:14" ht="12.75" customHeight="1">
      <c r="E564" s="259"/>
      <c r="F564" s="259"/>
      <c r="G564" s="259"/>
      <c r="H564" s="259"/>
      <c r="I564" s="259"/>
      <c r="J564" s="261"/>
      <c r="K564" s="10"/>
      <c r="N564" s="254"/>
    </row>
    <row r="565" spans="5:14" ht="12.75" customHeight="1">
      <c r="E565" s="259"/>
      <c r="F565" s="259"/>
      <c r="G565" s="259"/>
      <c r="H565" s="259"/>
      <c r="I565" s="259"/>
      <c r="J565" s="261"/>
      <c r="K565" s="10"/>
      <c r="N565" s="254"/>
    </row>
    <row r="566" spans="5:14" ht="12.75" customHeight="1">
      <c r="E566" s="259"/>
      <c r="F566" s="259"/>
      <c r="G566" s="259"/>
      <c r="H566" s="259"/>
      <c r="I566" s="259"/>
      <c r="J566" s="261"/>
      <c r="K566" s="10"/>
      <c r="N566" s="254"/>
    </row>
    <row r="567" spans="5:14" ht="12.75" customHeight="1">
      <c r="E567" s="259"/>
      <c r="F567" s="259"/>
      <c r="G567" s="259"/>
      <c r="H567" s="259"/>
      <c r="I567" s="259"/>
      <c r="J567" s="261"/>
      <c r="K567" s="10"/>
      <c r="N567" s="254"/>
    </row>
    <row r="568" spans="5:14" ht="12.75" customHeight="1">
      <c r="E568" s="259"/>
      <c r="F568" s="259"/>
      <c r="G568" s="259"/>
      <c r="H568" s="259"/>
      <c r="I568" s="259"/>
      <c r="J568" s="261"/>
      <c r="K568" s="10"/>
      <c r="N568" s="254"/>
    </row>
    <row r="569" spans="5:14" ht="12.75" customHeight="1">
      <c r="E569" s="259"/>
      <c r="F569" s="259"/>
      <c r="G569" s="259"/>
      <c r="H569" s="259"/>
      <c r="I569" s="259"/>
      <c r="J569" s="261"/>
      <c r="K569" s="10"/>
      <c r="N569" s="254"/>
    </row>
    <row r="570" spans="5:14" ht="12.75" customHeight="1">
      <c r="E570" s="259"/>
      <c r="F570" s="259"/>
      <c r="G570" s="259"/>
      <c r="H570" s="259"/>
      <c r="I570" s="259"/>
      <c r="J570" s="261"/>
      <c r="K570" s="10"/>
      <c r="N570" s="254"/>
    </row>
    <row r="571" spans="5:14" ht="12.75" customHeight="1">
      <c r="E571" s="259"/>
      <c r="F571" s="259"/>
      <c r="G571" s="259"/>
      <c r="H571" s="259"/>
      <c r="I571" s="259"/>
      <c r="J571" s="261"/>
      <c r="K571" s="10"/>
      <c r="N571" s="254"/>
    </row>
    <row r="572" spans="5:14" ht="12.75" customHeight="1">
      <c r="E572" s="259"/>
      <c r="F572" s="259"/>
      <c r="G572" s="259"/>
      <c r="H572" s="259"/>
      <c r="I572" s="259"/>
      <c r="J572" s="261"/>
      <c r="K572" s="10"/>
      <c r="N572" s="254"/>
    </row>
    <row r="573" spans="5:14" ht="12.75" customHeight="1">
      <c r="E573" s="259"/>
      <c r="F573" s="259"/>
      <c r="G573" s="259"/>
      <c r="H573" s="259"/>
      <c r="I573" s="259"/>
      <c r="J573" s="261"/>
      <c r="K573" s="10"/>
      <c r="N573" s="254"/>
    </row>
    <row r="574" spans="5:14" ht="12.75" customHeight="1">
      <c r="E574" s="259"/>
      <c r="F574" s="259"/>
      <c r="G574" s="259"/>
      <c r="H574" s="259"/>
      <c r="I574" s="259"/>
      <c r="J574" s="261"/>
      <c r="K574" s="10"/>
      <c r="N574" s="254"/>
    </row>
    <row r="575" spans="5:14" ht="12.75" customHeight="1">
      <c r="E575" s="259"/>
      <c r="F575" s="259"/>
      <c r="G575" s="259"/>
      <c r="H575" s="259"/>
      <c r="I575" s="259"/>
      <c r="J575" s="261"/>
      <c r="K575" s="10"/>
      <c r="N575" s="254"/>
    </row>
    <row r="576" spans="5:14" ht="12.75" customHeight="1">
      <c r="E576" s="259"/>
      <c r="F576" s="259"/>
      <c r="G576" s="259"/>
      <c r="H576" s="259"/>
      <c r="I576" s="259"/>
      <c r="J576" s="261"/>
      <c r="K576" s="10"/>
      <c r="N576" s="254"/>
    </row>
    <row r="577" spans="10:14" ht="12.75" customHeight="1">
      <c r="J577" s="10"/>
      <c r="K577" s="10"/>
      <c r="N577" s="254"/>
    </row>
    <row r="578" spans="10:14" ht="12.75" customHeight="1">
      <c r="J578" s="10"/>
      <c r="K578" s="10"/>
      <c r="N578" s="254"/>
    </row>
    <row r="579" spans="10:14" ht="12.75" customHeight="1">
      <c r="J579" s="10"/>
      <c r="K579" s="10"/>
      <c r="N579" s="254"/>
    </row>
    <row r="580" spans="10:14" ht="12.75" customHeight="1">
      <c r="J580" s="10"/>
      <c r="K580" s="10"/>
      <c r="N580" s="254"/>
    </row>
    <row r="581" spans="10:14" ht="12.75" customHeight="1">
      <c r="J581" s="10"/>
      <c r="N581" s="254"/>
    </row>
    <row r="582" ht="12.75" customHeight="1">
      <c r="N582" s="254"/>
    </row>
    <row r="583" ht="12.75" customHeight="1">
      <c r="N583" s="254"/>
    </row>
    <row r="584" ht="12.75" customHeight="1">
      <c r="N584" s="254"/>
    </row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</sheetData>
  <sheetProtection/>
  <mergeCells count="4">
    <mergeCell ref="B1:C1"/>
    <mergeCell ref="B2:C2"/>
    <mergeCell ref="A7:J7"/>
    <mergeCell ref="B3:C3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22" fitToWidth="1" horizontalDpi="600" verticalDpi="600" orientation="landscape" paperSize="9" scale="74" r:id="rId4"/>
  <rowBreaks count="1" manualBreakCount="1">
    <brk id="546" max="255" man="1"/>
  </rowBreaks>
  <drawing r:id="rId3"/>
  <legacyDrawing r:id="rId2"/>
  <oleObjects>
    <oleObject progId="PBrush" shapeId="8949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2"/>
  <sheetViews>
    <sheetView zoomScalePageLayoutView="0" workbookViewId="0" topLeftCell="G139">
      <selection activeCell="R123" sqref="R123:R126"/>
    </sheetView>
  </sheetViews>
  <sheetFormatPr defaultColWidth="9.140625" defaultRowHeight="12.75"/>
  <cols>
    <col min="1" max="1" width="5.28125" style="0" customWidth="1"/>
    <col min="2" max="2" width="44.28125" style="0" customWidth="1"/>
    <col min="3" max="3" width="17.00390625" style="0" bestFit="1" customWidth="1"/>
    <col min="4" max="14" width="17.00390625" style="0" customWidth="1"/>
    <col min="15" max="15" width="11.57421875" style="49" customWidth="1"/>
    <col min="16" max="16" width="15.7109375" style="42" bestFit="1" customWidth="1"/>
    <col min="17" max="17" width="10.8515625" style="0" customWidth="1"/>
    <col min="18" max="18" width="12.57421875" style="0" bestFit="1" customWidth="1"/>
    <col min="19" max="20" width="10.8515625" style="0" customWidth="1"/>
    <col min="21" max="21" width="12.7109375" style="0" customWidth="1"/>
  </cols>
  <sheetData>
    <row r="1" spans="1:19" ht="12.75">
      <c r="A1" s="136"/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  <c r="P1" s="140"/>
      <c r="Q1" s="3"/>
      <c r="R1" s="3"/>
      <c r="S1" s="3"/>
    </row>
    <row r="2" spans="1:19" ht="15">
      <c r="A2" s="141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4"/>
      <c r="P2" s="142"/>
      <c r="Q2" s="3"/>
      <c r="R2" s="2"/>
      <c r="S2" s="3"/>
    </row>
    <row r="3" spans="1:19" ht="12.75">
      <c r="A3" s="141"/>
      <c r="B3" s="278" t="s">
        <v>19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9"/>
      <c r="Q3" s="3"/>
      <c r="R3" s="3"/>
      <c r="S3" s="3"/>
    </row>
    <row r="4" spans="1:19" ht="12.75">
      <c r="A4" s="141"/>
      <c r="B4" s="5" t="s">
        <v>20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5"/>
      <c r="P4" s="143"/>
      <c r="Q4" s="3"/>
      <c r="R4" s="3"/>
      <c r="S4" s="3"/>
    </row>
    <row r="5" spans="1:19" ht="12.75">
      <c r="A5" s="144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4"/>
      <c r="P5" s="145"/>
      <c r="Q5" s="3"/>
      <c r="R5" s="3"/>
      <c r="S5" s="3"/>
    </row>
    <row r="6" spans="1:19" ht="12.75">
      <c r="A6" s="144"/>
      <c r="B6" s="4" t="s">
        <v>1052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44"/>
      <c r="P6" s="145"/>
      <c r="Q6" s="3"/>
      <c r="R6" s="3"/>
      <c r="S6" s="3"/>
    </row>
    <row r="7" spans="1:16" ht="12.75">
      <c r="A7" s="146"/>
      <c r="B7" s="7" t="s">
        <v>1059</v>
      </c>
      <c r="C7" s="10"/>
      <c r="D7" s="10"/>
      <c r="E7" s="10"/>
      <c r="F7" s="12"/>
      <c r="G7" s="10"/>
      <c r="H7" s="10"/>
      <c r="I7" s="10"/>
      <c r="J7" s="10"/>
      <c r="K7" s="10"/>
      <c r="L7" s="10"/>
      <c r="M7" s="10"/>
      <c r="N7" s="10"/>
      <c r="O7" s="147"/>
      <c r="P7" s="148"/>
    </row>
    <row r="8" spans="1:16" ht="12.75">
      <c r="A8" s="146"/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47"/>
      <c r="P8" s="148"/>
    </row>
    <row r="9" spans="1:16" ht="12.75">
      <c r="A9" s="280" t="s">
        <v>1053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2"/>
    </row>
    <row r="10" spans="1:16" ht="12.75">
      <c r="A10" s="14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47"/>
      <c r="P10" s="148"/>
    </row>
    <row r="11" spans="1:17" ht="12.75">
      <c r="A11" s="15" t="s">
        <v>0</v>
      </c>
      <c r="B11" s="15" t="s">
        <v>1</v>
      </c>
      <c r="C11" s="283" t="s">
        <v>7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5" t="s">
        <v>16</v>
      </c>
      <c r="P11" s="36" t="s">
        <v>2</v>
      </c>
      <c r="Q11" s="10"/>
    </row>
    <row r="12" spans="1:19" ht="12.75">
      <c r="A12" s="16"/>
      <c r="B12" s="16"/>
      <c r="C12" s="16">
        <v>30</v>
      </c>
      <c r="D12" s="16">
        <v>60</v>
      </c>
      <c r="E12" s="16">
        <v>90</v>
      </c>
      <c r="F12" s="16">
        <v>120</v>
      </c>
      <c r="G12" s="16">
        <v>150</v>
      </c>
      <c r="H12" s="16">
        <v>180</v>
      </c>
      <c r="I12" s="16">
        <v>210</v>
      </c>
      <c r="J12" s="16">
        <v>240</v>
      </c>
      <c r="K12" s="16">
        <v>270</v>
      </c>
      <c r="L12" s="16">
        <v>300</v>
      </c>
      <c r="M12" s="16">
        <v>330</v>
      </c>
      <c r="N12" s="16">
        <v>365</v>
      </c>
      <c r="O12" s="286"/>
      <c r="P12" s="37" t="s">
        <v>3</v>
      </c>
      <c r="Q12" s="11"/>
      <c r="R12" s="11"/>
      <c r="S12" s="11"/>
    </row>
    <row r="13" spans="1:22" ht="12.75">
      <c r="A13" s="21">
        <v>1</v>
      </c>
      <c r="B13" s="25" t="s">
        <v>23</v>
      </c>
      <c r="C13" s="111" t="s">
        <v>1054</v>
      </c>
      <c r="D13" s="111" t="s">
        <v>1054</v>
      </c>
      <c r="E13" s="111" t="s">
        <v>1054</v>
      </c>
      <c r="F13" s="111" t="s">
        <v>1054</v>
      </c>
      <c r="G13" s="111" t="s">
        <v>1054</v>
      </c>
      <c r="H13" s="111" t="s">
        <v>1054</v>
      </c>
      <c r="I13" s="111" t="s">
        <v>1054</v>
      </c>
      <c r="J13" s="111" t="s">
        <v>1054</v>
      </c>
      <c r="K13" s="111" t="s">
        <v>1054</v>
      </c>
      <c r="L13" s="111" t="s">
        <v>1054</v>
      </c>
      <c r="M13" s="111" t="s">
        <v>1054</v>
      </c>
      <c r="N13" s="111" t="s">
        <v>1054</v>
      </c>
      <c r="O13" s="132"/>
      <c r="P13" s="38"/>
      <c r="Q13" s="11"/>
      <c r="R13" s="12"/>
      <c r="S13" s="12"/>
      <c r="T13" s="13"/>
      <c r="U13" s="10"/>
      <c r="V13" s="10"/>
    </row>
    <row r="14" spans="1:22" ht="12.75">
      <c r="A14" s="23"/>
      <c r="B14" s="20"/>
      <c r="C14" s="242">
        <f>139475.22+59.73</f>
        <v>139534.95</v>
      </c>
      <c r="D14" s="242">
        <f>197094.24-24800.2-6.69</f>
        <v>172287.34999999998</v>
      </c>
      <c r="E14" s="242">
        <f>34860*1.047629</f>
        <v>36520.346939999996</v>
      </c>
      <c r="F14" s="242">
        <v>36520.35</v>
      </c>
      <c r="G14" s="242">
        <v>36520.35</v>
      </c>
      <c r="H14" s="242">
        <v>36520.35</v>
      </c>
      <c r="I14" s="242">
        <v>36520.35</v>
      </c>
      <c r="J14" s="242">
        <v>36520.35</v>
      </c>
      <c r="K14" s="242">
        <v>36520.35</v>
      </c>
      <c r="L14" s="242">
        <v>36520.35</v>
      </c>
      <c r="M14" s="242">
        <v>36520.35</v>
      </c>
      <c r="N14" s="242">
        <v>36520.35</v>
      </c>
      <c r="O14" s="133">
        <f>801392.92/12278813.87</f>
        <v>0.06526631387075502</v>
      </c>
      <c r="P14" s="39">
        <f>SUM(C14:N14)</f>
        <v>677025.7969399998</v>
      </c>
      <c r="Q14" s="11"/>
      <c r="R14" s="11"/>
      <c r="S14" s="11"/>
      <c r="T14" s="12"/>
      <c r="U14" s="10"/>
      <c r="V14" s="10"/>
    </row>
    <row r="15" spans="1:22" ht="12.75">
      <c r="A15" s="21">
        <v>2</v>
      </c>
      <c r="B15" s="241" t="s">
        <v>48</v>
      </c>
      <c r="C15" s="233"/>
      <c r="D15" s="111" t="s">
        <v>1054</v>
      </c>
      <c r="E15" s="111" t="s">
        <v>1054</v>
      </c>
      <c r="F15" s="233"/>
      <c r="G15" s="233"/>
      <c r="H15" s="233"/>
      <c r="I15" s="233"/>
      <c r="J15" s="233"/>
      <c r="K15" s="233"/>
      <c r="L15" s="233"/>
      <c r="M15" s="233"/>
      <c r="N15" s="233"/>
      <c r="O15" s="132"/>
      <c r="P15" s="234"/>
      <c r="Q15" s="11"/>
      <c r="R15" s="11"/>
      <c r="S15" s="11"/>
      <c r="T15" s="12"/>
      <c r="U15" s="10"/>
      <c r="V15" s="10"/>
    </row>
    <row r="16" spans="1:22" ht="12.75">
      <c r="A16" s="21"/>
      <c r="B16" s="232"/>
      <c r="C16" s="233"/>
      <c r="D16" s="242">
        <f>(290355.34*1.047629)-8786.65</f>
        <v>295398.02448886</v>
      </c>
      <c r="E16" s="242">
        <f>290355.34*1.047629</f>
        <v>304184.67448886</v>
      </c>
      <c r="F16" s="233"/>
      <c r="G16" s="233"/>
      <c r="H16" s="233"/>
      <c r="I16" s="233"/>
      <c r="J16" s="233"/>
      <c r="K16" s="233"/>
      <c r="L16" s="233"/>
      <c r="M16" s="233"/>
      <c r="N16" s="233"/>
      <c r="O16" s="132">
        <f>580710.68/12278813.87</f>
        <v>0.04729371144054976</v>
      </c>
      <c r="P16" s="234">
        <f>SUM(C16:N16)</f>
        <v>599582.69897772</v>
      </c>
      <c r="Q16" s="11"/>
      <c r="R16" s="11"/>
      <c r="S16" s="11"/>
      <c r="T16" s="12"/>
      <c r="U16" s="10"/>
      <c r="V16" s="10"/>
    </row>
    <row r="17" spans="1:22" ht="12.75">
      <c r="A17" s="237">
        <v>3</v>
      </c>
      <c r="B17" s="240" t="s">
        <v>106</v>
      </c>
      <c r="C17" s="110"/>
      <c r="D17" s="110"/>
      <c r="E17" s="111" t="s">
        <v>1054</v>
      </c>
      <c r="F17" s="243" t="s">
        <v>1054</v>
      </c>
      <c r="G17" s="244" t="s">
        <v>1054</v>
      </c>
      <c r="H17" s="244" t="s">
        <v>1054</v>
      </c>
      <c r="I17" s="110"/>
      <c r="J17" s="110"/>
      <c r="K17" s="244" t="s">
        <v>1054</v>
      </c>
      <c r="L17" s="244" t="s">
        <v>1054</v>
      </c>
      <c r="M17" s="244" t="s">
        <v>1054</v>
      </c>
      <c r="N17" s="110"/>
      <c r="O17" s="134"/>
      <c r="P17" s="236"/>
      <c r="Q17" s="11"/>
      <c r="R17" s="11"/>
      <c r="S17" s="11"/>
      <c r="T17" s="12"/>
      <c r="U17" s="10"/>
      <c r="V17" s="10"/>
    </row>
    <row r="18" spans="1:22" ht="12.75">
      <c r="A18" s="238"/>
      <c r="B18" s="20"/>
      <c r="C18" s="22"/>
      <c r="D18" s="22"/>
      <c r="E18" s="242">
        <f>370945.32-926.03</f>
        <v>370019.29</v>
      </c>
      <c r="F18" s="242">
        <v>370945.32</v>
      </c>
      <c r="G18" s="242">
        <v>370945.32</v>
      </c>
      <c r="H18" s="242">
        <v>370945.32</v>
      </c>
      <c r="I18" s="22"/>
      <c r="J18" s="22"/>
      <c r="K18" s="245">
        <v>185092.15</v>
      </c>
      <c r="L18" s="245">
        <v>185092.15</v>
      </c>
      <c r="M18" s="245">
        <v>185092.14</v>
      </c>
      <c r="N18" s="22"/>
      <c r="O18" s="133">
        <f>1480209.19/12278813.87</f>
        <v>0.1205498516120108</v>
      </c>
      <c r="P18" s="39">
        <f>SUM(E18:N18)</f>
        <v>2038131.69</v>
      </c>
      <c r="Q18" s="11"/>
      <c r="R18" s="11"/>
      <c r="S18" s="11"/>
      <c r="T18" s="12"/>
      <c r="U18" s="10"/>
      <c r="V18" s="10"/>
    </row>
    <row r="19" spans="1:22" ht="12.75">
      <c r="A19" s="21">
        <v>4</v>
      </c>
      <c r="B19" s="241" t="s">
        <v>126</v>
      </c>
      <c r="C19" s="233"/>
      <c r="D19" s="233"/>
      <c r="E19" s="233" t="s">
        <v>13</v>
      </c>
      <c r="F19" s="233"/>
      <c r="G19" s="233"/>
      <c r="H19" s="244" t="s">
        <v>1054</v>
      </c>
      <c r="I19" s="244" t="s">
        <v>1054</v>
      </c>
      <c r="J19" s="244" t="s">
        <v>1054</v>
      </c>
      <c r="K19" s="244"/>
      <c r="L19" s="244"/>
      <c r="M19" s="244"/>
      <c r="N19" s="233"/>
      <c r="O19" s="132"/>
      <c r="P19" s="234"/>
      <c r="Q19" s="11"/>
      <c r="R19" s="11"/>
      <c r="S19" s="11"/>
      <c r="T19" s="12"/>
      <c r="U19" s="10"/>
      <c r="V19" s="10"/>
    </row>
    <row r="20" spans="1:22" ht="12.75">
      <c r="A20" s="21"/>
      <c r="B20" s="232"/>
      <c r="C20" s="233"/>
      <c r="D20" s="233"/>
      <c r="E20" s="233"/>
      <c r="F20" s="233"/>
      <c r="G20" s="233"/>
      <c r="H20" s="242">
        <f>92754.29*1.047629</f>
        <v>97172.08407840999</v>
      </c>
      <c r="I20" s="242">
        <v>97172.08</v>
      </c>
      <c r="J20" s="242">
        <v>97172.08</v>
      </c>
      <c r="K20" s="245"/>
      <c r="L20" s="245"/>
      <c r="M20" s="245"/>
      <c r="N20" s="233"/>
      <c r="O20" s="132">
        <f>278262.87/12278813.87</f>
        <v>0.022662031768382853</v>
      </c>
      <c r="P20" s="234">
        <f>SUM(H20:O20)</f>
        <v>291516.26674044173</v>
      </c>
      <c r="Q20" s="11"/>
      <c r="R20" s="11"/>
      <c r="S20" s="11"/>
      <c r="T20" s="12"/>
      <c r="U20" s="10"/>
      <c r="V20" s="10"/>
    </row>
    <row r="21" spans="1:22" ht="24">
      <c r="A21" s="237">
        <v>5</v>
      </c>
      <c r="B21" s="240" t="s">
        <v>139</v>
      </c>
      <c r="C21" s="110"/>
      <c r="D21" s="110"/>
      <c r="E21" s="110"/>
      <c r="F21" s="110"/>
      <c r="G21" s="110"/>
      <c r="H21" s="110"/>
      <c r="I21" s="110"/>
      <c r="J21" s="110"/>
      <c r="K21" s="244" t="s">
        <v>1054</v>
      </c>
      <c r="L21" s="110"/>
      <c r="M21" s="110"/>
      <c r="N21" s="110"/>
      <c r="O21" s="134"/>
      <c r="P21" s="236"/>
      <c r="Q21" s="11"/>
      <c r="R21" s="11"/>
      <c r="S21" s="11"/>
      <c r="T21" s="12"/>
      <c r="U21" s="10"/>
      <c r="V21" s="10"/>
    </row>
    <row r="22" spans="1:22" ht="12.75">
      <c r="A22" s="238"/>
      <c r="B22" s="20"/>
      <c r="C22" s="22"/>
      <c r="D22" s="22"/>
      <c r="E22" s="22"/>
      <c r="F22" s="22"/>
      <c r="G22" s="22"/>
      <c r="H22" s="22"/>
      <c r="I22" s="22"/>
      <c r="J22" s="22"/>
      <c r="K22" s="22">
        <f>12118.16*1.047629</f>
        <v>12695.33584264</v>
      </c>
      <c r="L22" s="22"/>
      <c r="M22" s="22"/>
      <c r="N22" s="22"/>
      <c r="O22" s="133">
        <f>12118.16/12278813.87</f>
        <v>0.0009869161735245036</v>
      </c>
      <c r="P22" s="39">
        <f>SUM(K22:O22)</f>
        <v>12695.336829556172</v>
      </c>
      <c r="Q22" s="11"/>
      <c r="R22" s="11"/>
      <c r="S22" s="11"/>
      <c r="T22" s="12"/>
      <c r="U22" s="10"/>
      <c r="V22" s="10"/>
    </row>
    <row r="23" spans="1:22" ht="12.75">
      <c r="A23" s="21">
        <v>6</v>
      </c>
      <c r="B23" s="241" t="s">
        <v>142</v>
      </c>
      <c r="C23" s="233"/>
      <c r="D23" s="233"/>
      <c r="E23" s="233"/>
      <c r="F23" s="233"/>
      <c r="G23" s="233"/>
      <c r="H23" s="233"/>
      <c r="I23" s="233"/>
      <c r="J23" s="233"/>
      <c r="L23" s="247"/>
      <c r="N23" s="243" t="s">
        <v>1054</v>
      </c>
      <c r="O23" s="132"/>
      <c r="P23" s="234"/>
      <c r="Q23" s="11"/>
      <c r="R23" s="11"/>
      <c r="S23" s="11"/>
      <c r="T23" s="12"/>
      <c r="U23" s="10"/>
      <c r="V23" s="10"/>
    </row>
    <row r="24" spans="1:22" ht="12.75">
      <c r="A24" s="21"/>
      <c r="B24" s="232"/>
      <c r="C24" s="233"/>
      <c r="D24" s="233"/>
      <c r="E24" s="233"/>
      <c r="F24" s="233"/>
      <c r="G24" s="233"/>
      <c r="H24" s="233"/>
      <c r="I24" s="233"/>
      <c r="J24" s="233"/>
      <c r="L24" s="248"/>
      <c r="N24" s="249">
        <f>226228.49*1.047629</f>
        <v>237003.52675020997</v>
      </c>
      <c r="O24" s="132">
        <f>189442.67/12278813.87</f>
        <v>0.015428417761332188</v>
      </c>
      <c r="P24" s="234">
        <f>SUM(K24:N24)</f>
        <v>237003.52675020997</v>
      </c>
      <c r="Q24" s="11"/>
      <c r="R24" s="11"/>
      <c r="S24" s="11"/>
      <c r="T24" s="12"/>
      <c r="U24" s="10"/>
      <c r="V24" s="10"/>
    </row>
    <row r="25" spans="1:22" ht="12.75">
      <c r="A25" s="237">
        <v>7</v>
      </c>
      <c r="B25" s="240" t="s">
        <v>152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34"/>
      <c r="P25" s="236"/>
      <c r="Q25" s="11"/>
      <c r="R25" s="11"/>
      <c r="S25" s="11"/>
      <c r="T25" s="12"/>
      <c r="U25" s="10"/>
      <c r="V25" s="10"/>
    </row>
    <row r="26" spans="1:22" ht="12.75">
      <c r="A26" s="238"/>
      <c r="B26" s="2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33"/>
      <c r="P26" s="39"/>
      <c r="Q26" s="11"/>
      <c r="R26" s="11"/>
      <c r="S26" s="11"/>
      <c r="T26" s="12"/>
      <c r="U26" s="10"/>
      <c r="V26" s="10"/>
    </row>
    <row r="27" spans="1:22" ht="12.75">
      <c r="A27" s="21">
        <v>8</v>
      </c>
      <c r="B27" s="241" t="s">
        <v>173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132"/>
      <c r="P27" s="234"/>
      <c r="Q27" s="11"/>
      <c r="R27" s="11"/>
      <c r="S27" s="11"/>
      <c r="T27" s="12"/>
      <c r="U27" s="10"/>
      <c r="V27" s="10"/>
    </row>
    <row r="28" spans="1:22" ht="12.75">
      <c r="A28" s="21"/>
      <c r="B28" s="232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132"/>
      <c r="P28" s="234"/>
      <c r="Q28" s="11"/>
      <c r="R28" s="11"/>
      <c r="S28" s="11"/>
      <c r="T28" s="12"/>
      <c r="U28" s="10"/>
      <c r="V28" s="10"/>
    </row>
    <row r="29" spans="1:22" ht="12.75">
      <c r="A29" s="237">
        <v>9</v>
      </c>
      <c r="B29" s="240" t="s">
        <v>904</v>
      </c>
      <c r="C29" s="110"/>
      <c r="D29" s="110"/>
      <c r="E29" s="110"/>
      <c r="F29" s="110"/>
      <c r="G29" s="110"/>
      <c r="H29" s="110"/>
      <c r="I29" s="110"/>
      <c r="J29" s="244" t="s">
        <v>1054</v>
      </c>
      <c r="K29" s="244" t="s">
        <v>1054</v>
      </c>
      <c r="L29" s="244" t="s">
        <v>1054</v>
      </c>
      <c r="M29" s="244" t="s">
        <v>1054</v>
      </c>
      <c r="N29" s="244" t="s">
        <v>1054</v>
      </c>
      <c r="O29" s="134"/>
      <c r="P29" s="236"/>
      <c r="Q29" s="11"/>
      <c r="R29" s="11"/>
      <c r="S29" s="11"/>
      <c r="T29" s="12"/>
      <c r="U29" s="10"/>
      <c r="V29" s="10"/>
    </row>
    <row r="30" spans="1:22" ht="12.75">
      <c r="A30" s="238"/>
      <c r="B30" s="20"/>
      <c r="C30" s="22"/>
      <c r="D30" s="22"/>
      <c r="E30" s="22"/>
      <c r="F30" s="22"/>
      <c r="G30" s="22"/>
      <c r="H30" s="22"/>
      <c r="I30" s="22"/>
      <c r="J30" s="242">
        <f>33767.6*1.047629</f>
        <v>35375.9170204</v>
      </c>
      <c r="K30" s="242">
        <v>35375.92</v>
      </c>
      <c r="L30" s="242">
        <v>35375.92</v>
      </c>
      <c r="M30" s="242">
        <v>35375.92</v>
      </c>
      <c r="N30" s="242">
        <v>35375.92</v>
      </c>
      <c r="O30" s="133">
        <f>168838/12278813.87</f>
        <v>0.01375035095307622</v>
      </c>
      <c r="P30" s="39">
        <f>SUM(J30:O30)</f>
        <v>176879.61077075094</v>
      </c>
      <c r="Q30" s="11"/>
      <c r="R30" s="11"/>
      <c r="S30" s="11"/>
      <c r="T30" s="12"/>
      <c r="U30" s="10"/>
      <c r="V30" s="10"/>
    </row>
    <row r="31" spans="1:22" ht="12.75">
      <c r="A31" s="21">
        <v>10</v>
      </c>
      <c r="B31" s="241" t="s">
        <v>212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132"/>
      <c r="P31" s="234"/>
      <c r="Q31" s="11"/>
      <c r="R31" s="11"/>
      <c r="S31" s="11"/>
      <c r="T31" s="12"/>
      <c r="U31" s="10"/>
      <c r="V31" s="10"/>
    </row>
    <row r="32" spans="1:22" ht="12.75">
      <c r="A32" s="21"/>
      <c r="B32" s="232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132"/>
      <c r="P32" s="234"/>
      <c r="Q32" s="11"/>
      <c r="R32" s="11"/>
      <c r="S32" s="11"/>
      <c r="T32" s="12"/>
      <c r="U32" s="10"/>
      <c r="V32" s="10"/>
    </row>
    <row r="33" spans="1:22" ht="12.75">
      <c r="A33" s="237">
        <v>11</v>
      </c>
      <c r="B33" s="240" t="s">
        <v>245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34"/>
      <c r="P33" s="236"/>
      <c r="Q33" s="11"/>
      <c r="R33" s="11"/>
      <c r="S33" s="11"/>
      <c r="T33" s="12"/>
      <c r="U33" s="10"/>
      <c r="V33" s="10"/>
    </row>
    <row r="34" spans="1:22" ht="12.75">
      <c r="A34" s="238"/>
      <c r="B34" s="2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33"/>
      <c r="P34" s="39"/>
      <c r="Q34" s="11"/>
      <c r="R34" s="11"/>
      <c r="S34" s="11"/>
      <c r="T34" s="12"/>
      <c r="U34" s="10"/>
      <c r="V34" s="10"/>
    </row>
    <row r="35" spans="1:22" ht="12.75">
      <c r="A35" s="21">
        <v>12</v>
      </c>
      <c r="B35" s="241" t="s">
        <v>250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132"/>
      <c r="P35" s="234"/>
      <c r="Q35" s="11"/>
      <c r="R35" s="11"/>
      <c r="S35" s="11"/>
      <c r="T35" s="12"/>
      <c r="U35" s="10"/>
      <c r="V35" s="10"/>
    </row>
    <row r="36" spans="1:22" ht="12.75">
      <c r="A36" s="21"/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132"/>
      <c r="P36" s="234"/>
      <c r="Q36" s="11"/>
      <c r="R36" s="11"/>
      <c r="S36" s="11"/>
      <c r="T36" s="12"/>
      <c r="U36" s="10"/>
      <c r="V36" s="10"/>
    </row>
    <row r="37" spans="1:22" ht="12.75">
      <c r="A37" s="237">
        <v>13</v>
      </c>
      <c r="B37" s="240" t="s">
        <v>293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34"/>
      <c r="P37" s="236"/>
      <c r="Q37" s="11"/>
      <c r="R37" s="11"/>
      <c r="S37" s="11"/>
      <c r="T37" s="12"/>
      <c r="U37" s="10"/>
      <c r="V37" s="10"/>
    </row>
    <row r="38" spans="1:22" ht="12.75">
      <c r="A38" s="238"/>
      <c r="B38" s="2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33"/>
      <c r="P38" s="39"/>
      <c r="Q38" s="11"/>
      <c r="R38" s="11"/>
      <c r="S38" s="11"/>
      <c r="T38" s="12"/>
      <c r="U38" s="10"/>
      <c r="V38" s="10"/>
    </row>
    <row r="39" spans="1:22" ht="12.75">
      <c r="A39" s="21">
        <v>14</v>
      </c>
      <c r="B39" s="241" t="s">
        <v>314</v>
      </c>
      <c r="C39" s="233"/>
      <c r="D39" s="233"/>
      <c r="E39" s="233"/>
      <c r="F39" s="233"/>
      <c r="G39" s="233"/>
      <c r="H39" s="233"/>
      <c r="I39" s="244" t="s">
        <v>1054</v>
      </c>
      <c r="J39" s="244" t="s">
        <v>1054</v>
      </c>
      <c r="K39" s="244" t="s">
        <v>1054</v>
      </c>
      <c r="L39" s="244" t="s">
        <v>1054</v>
      </c>
      <c r="M39" s="244" t="s">
        <v>1054</v>
      </c>
      <c r="N39" s="244" t="s">
        <v>1054</v>
      </c>
      <c r="O39" s="132"/>
      <c r="P39" s="234"/>
      <c r="Q39" s="11"/>
      <c r="R39" s="11"/>
      <c r="S39" s="11"/>
      <c r="T39" s="12"/>
      <c r="U39" s="10"/>
      <c r="V39" s="10"/>
    </row>
    <row r="40" spans="1:22" ht="12.75">
      <c r="A40" s="21"/>
      <c r="B40" s="232"/>
      <c r="C40" s="233"/>
      <c r="D40" s="233"/>
      <c r="E40" s="233"/>
      <c r="F40" s="233"/>
      <c r="G40" s="233"/>
      <c r="H40" s="233"/>
      <c r="I40" s="245">
        <f>29268.31*1.047629</f>
        <v>30662.33033699</v>
      </c>
      <c r="J40" s="245">
        <v>30662.33</v>
      </c>
      <c r="K40" s="245">
        <v>30662.33</v>
      </c>
      <c r="L40" s="245">
        <v>30662.33</v>
      </c>
      <c r="M40" s="245">
        <v>30662.33</v>
      </c>
      <c r="N40" s="245">
        <v>30662.33</v>
      </c>
      <c r="O40" s="132">
        <f>286855.2/12278813.87</f>
        <v>0.023361800499383256</v>
      </c>
      <c r="P40" s="234">
        <f>SUM(I40:N40)</f>
        <v>183973.98033699003</v>
      </c>
      <c r="Q40" s="11"/>
      <c r="R40" s="11"/>
      <c r="S40" s="11"/>
      <c r="T40" s="12"/>
      <c r="U40" s="10"/>
      <c r="V40" s="10"/>
    </row>
    <row r="41" spans="1:22" ht="24">
      <c r="A41" s="237">
        <v>15</v>
      </c>
      <c r="B41" s="240" t="s">
        <v>467</v>
      </c>
      <c r="C41" s="110"/>
      <c r="D41" s="110"/>
      <c r="E41" s="110"/>
      <c r="F41" s="110"/>
      <c r="G41" s="110"/>
      <c r="H41" s="110"/>
      <c r="I41" s="244" t="s">
        <v>1054</v>
      </c>
      <c r="J41" s="244" t="s">
        <v>1054</v>
      </c>
      <c r="K41" s="244" t="s">
        <v>1054</v>
      </c>
      <c r="L41" s="244" t="s">
        <v>1054</v>
      </c>
      <c r="M41" s="244" t="s">
        <v>1054</v>
      </c>
      <c r="N41" s="244" t="s">
        <v>1054</v>
      </c>
      <c r="O41" s="134"/>
      <c r="P41" s="236"/>
      <c r="Q41" s="11"/>
      <c r="R41" s="11"/>
      <c r="S41" s="11"/>
      <c r="T41" s="12"/>
      <c r="U41" s="10"/>
      <c r="V41" s="10"/>
    </row>
    <row r="42" spans="1:22" ht="12.75">
      <c r="A42" s="238"/>
      <c r="B42" s="20"/>
      <c r="C42" s="22"/>
      <c r="D42" s="22"/>
      <c r="E42" s="22"/>
      <c r="F42" s="22"/>
      <c r="G42" s="22"/>
      <c r="H42" s="22"/>
      <c r="I42" s="242">
        <f>145762.61*1.047629</f>
        <v>152705.13735168998</v>
      </c>
      <c r="J42" s="242">
        <v>152705.14</v>
      </c>
      <c r="K42" s="242">
        <v>152705.14</v>
      </c>
      <c r="L42" s="242">
        <v>152705.14</v>
      </c>
      <c r="M42" s="242">
        <v>152705.14</v>
      </c>
      <c r="N42" s="242">
        <v>152705.14</v>
      </c>
      <c r="O42" s="133">
        <f>874575.66/12278813.87</f>
        <v>0.0712263960720825</v>
      </c>
      <c r="P42" s="39">
        <f>SUM(I42:N42)</f>
        <v>916230.83735169</v>
      </c>
      <c r="Q42" s="11"/>
      <c r="R42" s="11"/>
      <c r="S42" s="11"/>
      <c r="T42" s="12"/>
      <c r="U42" s="10"/>
      <c r="V42" s="10"/>
    </row>
    <row r="43" spans="1:23" ht="12.75">
      <c r="A43" s="24">
        <v>16</v>
      </c>
      <c r="B43" s="235" t="s">
        <v>905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32"/>
      <c r="P43" s="38"/>
      <c r="Q43" s="13"/>
      <c r="R43" s="12"/>
      <c r="S43" s="12"/>
      <c r="T43" s="12"/>
      <c r="U43" s="13"/>
      <c r="V43" s="10"/>
      <c r="W43" s="10"/>
    </row>
    <row r="44" spans="1:23" ht="12.75">
      <c r="A44" s="19"/>
      <c r="B44" s="2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33"/>
      <c r="P44" s="39"/>
      <c r="Q44" s="12"/>
      <c r="R44" s="14"/>
      <c r="S44" s="14"/>
      <c r="T44" s="12"/>
      <c r="U44" s="12"/>
      <c r="V44" s="10"/>
      <c r="W44" s="10"/>
    </row>
    <row r="45" spans="1:23" ht="12.75">
      <c r="A45" s="24">
        <v>17</v>
      </c>
      <c r="B45" s="239" t="s">
        <v>888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35"/>
      <c r="O45" s="134"/>
      <c r="P45" s="38"/>
      <c r="Q45" s="12"/>
      <c r="R45" s="14"/>
      <c r="S45" s="14"/>
      <c r="T45" s="12"/>
      <c r="U45" s="12"/>
      <c r="V45" s="10"/>
      <c r="W45" s="10"/>
    </row>
    <row r="46" spans="1:23" ht="12.75">
      <c r="A46" s="19"/>
      <c r="B46" s="2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33"/>
      <c r="P46" s="39"/>
      <c r="Q46" s="12"/>
      <c r="R46" s="14"/>
      <c r="S46" s="14"/>
      <c r="T46" s="12"/>
      <c r="U46" s="12"/>
      <c r="V46" s="10"/>
      <c r="W46" s="10"/>
    </row>
    <row r="47" spans="1:23" ht="12.75">
      <c r="A47" s="24">
        <v>18</v>
      </c>
      <c r="B47" s="130" t="s">
        <v>30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31"/>
      <c r="O47" s="134"/>
      <c r="P47" s="38"/>
      <c r="Q47" s="12"/>
      <c r="R47" s="14"/>
      <c r="S47" s="113"/>
      <c r="T47" s="12"/>
      <c r="U47" s="12"/>
      <c r="V47" s="10"/>
      <c r="W47" s="10"/>
    </row>
    <row r="48" spans="1:23" ht="12.75">
      <c r="A48" s="19"/>
      <c r="B48" s="2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33"/>
      <c r="P48" s="39"/>
      <c r="Q48" s="12"/>
      <c r="R48" s="14"/>
      <c r="S48" s="14"/>
      <c r="T48" s="12"/>
      <c r="U48" s="12"/>
      <c r="V48" s="10"/>
      <c r="W48" s="10"/>
    </row>
    <row r="49" spans="1:16" ht="12.75">
      <c r="A49" s="32" t="s">
        <v>8</v>
      </c>
      <c r="B49" s="27"/>
      <c r="C49" s="50">
        <f aca="true" t="shared" si="0" ref="C49:P49">SUM(C13:C48)</f>
        <v>139534.95</v>
      </c>
      <c r="D49" s="50">
        <f t="shared" si="0"/>
        <v>467685.37448885996</v>
      </c>
      <c r="E49" s="50">
        <f t="shared" si="0"/>
        <v>710724.3114288601</v>
      </c>
      <c r="F49" s="50">
        <f t="shared" si="0"/>
        <v>407465.67</v>
      </c>
      <c r="G49" s="50">
        <f t="shared" si="0"/>
        <v>407465.67</v>
      </c>
      <c r="H49" s="50">
        <f t="shared" si="0"/>
        <v>504637.75407841</v>
      </c>
      <c r="I49" s="50">
        <f t="shared" si="0"/>
        <v>317059.89768868</v>
      </c>
      <c r="J49" s="50">
        <f t="shared" si="0"/>
        <v>352435.8170204</v>
      </c>
      <c r="K49" s="50">
        <f t="shared" si="0"/>
        <v>453051.22584264004</v>
      </c>
      <c r="L49" s="50">
        <f t="shared" si="0"/>
        <v>440355.89</v>
      </c>
      <c r="M49" s="50">
        <f t="shared" si="0"/>
        <v>440355.88000000006</v>
      </c>
      <c r="N49" s="50">
        <f t="shared" si="0"/>
        <v>492267.26675020996</v>
      </c>
      <c r="O49" s="251">
        <f t="shared" si="0"/>
        <v>0.380525790151097</v>
      </c>
      <c r="P49" s="40">
        <f t="shared" si="0"/>
        <v>5133039.744697358</v>
      </c>
    </row>
    <row r="50" spans="1:16" ht="12.75">
      <c r="A50" s="33" t="s">
        <v>4</v>
      </c>
      <c r="B50" s="28"/>
      <c r="C50" s="30">
        <f>C49/P159</f>
        <v>0.01048148197162478</v>
      </c>
      <c r="D50" s="30">
        <f>D49/P159</f>
        <v>0.035131240030526895</v>
      </c>
      <c r="E50" s="30">
        <f>E49/P159</f>
        <v>0.05338765704962829</v>
      </c>
      <c r="F50" s="30">
        <f>F49/P159</f>
        <v>0.03060770132616245</v>
      </c>
      <c r="G50" s="30">
        <f>G49/P159</f>
        <v>0.03060770132616245</v>
      </c>
      <c r="H50" s="30">
        <f>H49/P159</f>
        <v>0.037907001232121935</v>
      </c>
      <c r="I50" s="30">
        <f>I49/P159</f>
        <v>0.023816668164851142</v>
      </c>
      <c r="J50" s="30">
        <f>J49/P159</f>
        <v>0.02647401000433348</v>
      </c>
      <c r="K50" s="30">
        <f>K49/P159</f>
        <v>0.03403196300204456</v>
      </c>
      <c r="L50" s="30">
        <f>L49/P159</f>
        <v>0.03307832426308809</v>
      </c>
      <c r="M50" s="30">
        <f>M49/P159</f>
        <v>0.03307832351191558</v>
      </c>
      <c r="N50" s="30">
        <f>N49/P159</f>
        <v>0.03697776422081587</v>
      </c>
      <c r="O50" s="30"/>
      <c r="P50" s="30">
        <f>P49/P159</f>
        <v>0.38557983891260805</v>
      </c>
    </row>
    <row r="51" spans="1:16" ht="12.75">
      <c r="A51" s="33" t="s">
        <v>9</v>
      </c>
      <c r="B51" s="26"/>
      <c r="C51" s="112">
        <f>C49</f>
        <v>139534.95</v>
      </c>
      <c r="D51" s="112">
        <f>D49+C51</f>
        <v>607220.32448886</v>
      </c>
      <c r="E51" s="112">
        <f>E49+D51</f>
        <v>1317944.63591772</v>
      </c>
      <c r="F51" s="112">
        <f>F49+E51</f>
        <v>1725410.3059177198</v>
      </c>
      <c r="G51" s="112">
        <f>G49+F51</f>
        <v>2132875.97591772</v>
      </c>
      <c r="H51" s="112">
        <f>H49+G51</f>
        <v>2637513.72999613</v>
      </c>
      <c r="I51" s="112">
        <f aca="true" t="shared" si="1" ref="I51:N51">I49+H51</f>
        <v>2954573.6276848097</v>
      </c>
      <c r="J51" s="112">
        <f t="shared" si="1"/>
        <v>3307009.4447052097</v>
      </c>
      <c r="K51" s="112">
        <f t="shared" si="1"/>
        <v>3760060.6705478495</v>
      </c>
      <c r="L51" s="112">
        <f t="shared" si="1"/>
        <v>4200416.560547849</v>
      </c>
      <c r="M51" s="112">
        <f t="shared" si="1"/>
        <v>4640772.440547849</v>
      </c>
      <c r="N51" s="112">
        <f t="shared" si="1"/>
        <v>5133039.707298059</v>
      </c>
      <c r="O51" s="46"/>
      <c r="P51" s="41">
        <f>P49</f>
        <v>5133039.744697358</v>
      </c>
    </row>
    <row r="52" spans="1:16" ht="12.75">
      <c r="A52" s="34" t="s">
        <v>5</v>
      </c>
      <c r="B52" s="29"/>
      <c r="C52" s="31">
        <f>C51/P161</f>
        <v>0.01048148197162478</v>
      </c>
      <c r="D52" s="31">
        <f>D51/P161</f>
        <v>0.045612722002151676</v>
      </c>
      <c r="E52" s="31">
        <f>E51/P161</f>
        <v>0.09900037905177995</v>
      </c>
      <c r="F52" s="31">
        <f>F51/P161</f>
        <v>0.12960808037794241</v>
      </c>
      <c r="G52" s="31">
        <f>G51/P161</f>
        <v>0.16021578170410486</v>
      </c>
      <c r="H52" s="31">
        <f>H51/P161</f>
        <v>0.1981227829362268</v>
      </c>
      <c r="I52" s="31">
        <f>I51/P161</f>
        <v>0.22193945110107793</v>
      </c>
      <c r="J52" s="31">
        <f>J51/P161</f>
        <v>0.2484134611054114</v>
      </c>
      <c r="K52" s="31">
        <f>K51/P161</f>
        <v>0.28244542410745593</v>
      </c>
      <c r="L52" s="31">
        <f>L51/P161</f>
        <v>0.31552374837054403</v>
      </c>
      <c r="M52" s="31">
        <f>M51/P161</f>
        <v>0.34860207188245956</v>
      </c>
      <c r="N52" s="31">
        <f>N51/P161</f>
        <v>0.38557983610327545</v>
      </c>
      <c r="O52" s="47"/>
      <c r="P52" s="31">
        <f>P51/P161</f>
        <v>0.38557983891260805</v>
      </c>
    </row>
    <row r="53" spans="1:15" ht="12.75">
      <c r="A53" s="8"/>
      <c r="B53" s="1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48"/>
    </row>
    <row r="54" spans="1:16" ht="12.75">
      <c r="A54" s="8"/>
      <c r="B54" s="1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48"/>
      <c r="P54" s="43"/>
    </row>
    <row r="55" spans="1:15" ht="12.75">
      <c r="A55" s="8"/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48"/>
    </row>
    <row r="56" spans="1:16" ht="12.75">
      <c r="A56" s="136"/>
      <c r="B56" s="137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9"/>
      <c r="P56" s="140"/>
    </row>
    <row r="57" spans="1:16" ht="12.75">
      <c r="A57" s="141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142"/>
    </row>
    <row r="58" spans="1:16" ht="12.75">
      <c r="A58" s="141"/>
      <c r="B58" s="278" t="s">
        <v>19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9"/>
    </row>
    <row r="59" spans="1:16" ht="12.75">
      <c r="A59" s="141"/>
      <c r="B59" s="5" t="s">
        <v>20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45"/>
      <c r="P59" s="143"/>
    </row>
    <row r="60" spans="1:16" ht="12.75">
      <c r="A60" s="144"/>
      <c r="B60" s="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/>
      <c r="P60" s="145"/>
    </row>
    <row r="61" spans="1:16" ht="12.75">
      <c r="A61" s="144"/>
      <c r="B61" s="4" t="s">
        <v>1052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/>
      <c r="P61" s="145"/>
    </row>
    <row r="62" spans="1:16" ht="12.75">
      <c r="A62" s="146"/>
      <c r="B62" s="7" t="s">
        <v>1059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47"/>
      <c r="P62" s="148"/>
    </row>
    <row r="63" spans="1:16" ht="12.75">
      <c r="A63" s="146"/>
      <c r="B63" s="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47"/>
      <c r="P63" s="148"/>
    </row>
    <row r="64" spans="1:16" ht="12.75">
      <c r="A64" s="280" t="s">
        <v>1055</v>
      </c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2"/>
    </row>
    <row r="65" spans="1:16" ht="12.75">
      <c r="A65" s="146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47"/>
      <c r="P65" s="148"/>
    </row>
    <row r="66" spans="1:16" ht="12.75">
      <c r="A66" s="15" t="s">
        <v>0</v>
      </c>
      <c r="B66" s="15" t="s">
        <v>1</v>
      </c>
      <c r="C66" s="283" t="s">
        <v>7</v>
      </c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5" t="s">
        <v>16</v>
      </c>
      <c r="P66" s="36" t="s">
        <v>2</v>
      </c>
    </row>
    <row r="67" spans="1:16" ht="12.75">
      <c r="A67" s="16"/>
      <c r="B67" s="16"/>
      <c r="C67" s="16">
        <f>30+365</f>
        <v>395</v>
      </c>
      <c r="D67" s="16">
        <f>60+365</f>
        <v>425</v>
      </c>
      <c r="E67" s="16">
        <f>90+365</f>
        <v>455</v>
      </c>
      <c r="F67" s="16">
        <f>120+365</f>
        <v>485</v>
      </c>
      <c r="G67" s="16">
        <f>150+365</f>
        <v>515</v>
      </c>
      <c r="H67" s="16">
        <f>180+365</f>
        <v>545</v>
      </c>
      <c r="I67" s="16">
        <f>210+365</f>
        <v>575</v>
      </c>
      <c r="J67" s="16">
        <f>240+365</f>
        <v>605</v>
      </c>
      <c r="K67" s="16">
        <f>270+365</f>
        <v>635</v>
      </c>
      <c r="L67" s="16">
        <f>300+365</f>
        <v>665</v>
      </c>
      <c r="M67" s="16">
        <f>330+365</f>
        <v>695</v>
      </c>
      <c r="N67" s="16">
        <f>365+365</f>
        <v>730</v>
      </c>
      <c r="O67" s="286"/>
      <c r="P67" s="37" t="s">
        <v>3</v>
      </c>
    </row>
    <row r="68" spans="1:16" ht="12.75">
      <c r="A68" s="21">
        <v>1</v>
      </c>
      <c r="B68" s="25" t="s">
        <v>23</v>
      </c>
      <c r="C68" s="111" t="s">
        <v>1054</v>
      </c>
      <c r="D68" s="111" t="s">
        <v>1054</v>
      </c>
      <c r="E68" s="111" t="s">
        <v>1054</v>
      </c>
      <c r="F68" s="111" t="s">
        <v>1054</v>
      </c>
      <c r="G68" s="111" t="s">
        <v>1054</v>
      </c>
      <c r="H68" s="111" t="s">
        <v>1054</v>
      </c>
      <c r="I68" s="111" t="s">
        <v>1054</v>
      </c>
      <c r="J68" s="111" t="s">
        <v>1054</v>
      </c>
      <c r="K68" s="111" t="s">
        <v>1054</v>
      </c>
      <c r="L68" s="111" t="s">
        <v>1054</v>
      </c>
      <c r="M68" s="111" t="s">
        <v>1054</v>
      </c>
      <c r="N68" s="111" t="s">
        <v>1054</v>
      </c>
      <c r="O68" s="132"/>
      <c r="P68" s="38"/>
    </row>
    <row r="69" spans="1:16" ht="12.75">
      <c r="A69" s="23"/>
      <c r="B69" s="20"/>
      <c r="C69" s="242">
        <v>36520.35</v>
      </c>
      <c r="D69" s="242">
        <v>36520.35</v>
      </c>
      <c r="E69" s="242">
        <v>36520.35</v>
      </c>
      <c r="F69" s="242">
        <v>36520.35</v>
      </c>
      <c r="G69" s="242">
        <v>36520.35</v>
      </c>
      <c r="H69" s="242">
        <v>36520.35</v>
      </c>
      <c r="I69" s="242">
        <v>36520.35</v>
      </c>
      <c r="J69" s="242">
        <v>36520.35</v>
      </c>
      <c r="K69" s="242">
        <v>36520.35</v>
      </c>
      <c r="L69" s="242">
        <v>36520.35</v>
      </c>
      <c r="M69" s="242">
        <v>36520.35</v>
      </c>
      <c r="N69" s="242">
        <v>36520.35</v>
      </c>
      <c r="O69" s="133">
        <f>1219712.99/12278813.87</f>
        <v>0.0993347568351079</v>
      </c>
      <c r="P69" s="39">
        <f>SUM(C69:N69)+P14</f>
        <v>1115269.9969399997</v>
      </c>
    </row>
    <row r="70" spans="1:16" ht="12.75">
      <c r="A70" s="21">
        <v>2</v>
      </c>
      <c r="B70" s="241" t="s">
        <v>48</v>
      </c>
      <c r="C70" s="233"/>
      <c r="D70" s="111"/>
      <c r="E70" s="111"/>
      <c r="F70" s="233"/>
      <c r="G70" s="233"/>
      <c r="H70" s="233"/>
      <c r="I70" s="233"/>
      <c r="J70" s="233"/>
      <c r="K70" s="233"/>
      <c r="L70" s="233"/>
      <c r="M70" s="233"/>
      <c r="N70" s="233"/>
      <c r="O70" s="132"/>
      <c r="P70" s="234"/>
    </row>
    <row r="71" spans="1:16" ht="12.75">
      <c r="A71" s="21"/>
      <c r="B71" s="232"/>
      <c r="C71" s="233"/>
      <c r="D71" s="242"/>
      <c r="E71" s="242"/>
      <c r="F71" s="233"/>
      <c r="G71" s="233"/>
      <c r="H71" s="233"/>
      <c r="I71" s="233"/>
      <c r="J71" s="233"/>
      <c r="K71" s="233"/>
      <c r="L71" s="233"/>
      <c r="M71" s="233"/>
      <c r="N71" s="233"/>
      <c r="O71" s="132">
        <f>580710.68/12278813.87</f>
        <v>0.04729371144054976</v>
      </c>
      <c r="P71" s="234">
        <f>P16</f>
        <v>599582.69897772</v>
      </c>
    </row>
    <row r="72" spans="1:16" ht="12.75">
      <c r="A72" s="237">
        <v>3</v>
      </c>
      <c r="B72" s="240" t="s">
        <v>106</v>
      </c>
      <c r="C72" s="110"/>
      <c r="D72" s="110"/>
      <c r="E72" s="111"/>
      <c r="F72" s="243"/>
      <c r="G72" s="244"/>
      <c r="H72" s="244"/>
      <c r="I72" s="110"/>
      <c r="J72" s="110"/>
      <c r="K72" s="110"/>
      <c r="L72" s="110"/>
      <c r="M72" s="110"/>
      <c r="N72" s="110"/>
      <c r="O72" s="134"/>
      <c r="P72" s="236"/>
    </row>
    <row r="73" spans="1:16" ht="12.75">
      <c r="A73" s="238"/>
      <c r="B73" s="20"/>
      <c r="C73" s="22"/>
      <c r="D73" s="22"/>
      <c r="E73" s="242"/>
      <c r="F73" s="242"/>
      <c r="G73" s="242"/>
      <c r="H73" s="242"/>
      <c r="I73" s="22"/>
      <c r="J73" s="22"/>
      <c r="K73" s="22"/>
      <c r="L73" s="22"/>
      <c r="M73" s="22"/>
      <c r="N73" s="22"/>
      <c r="O73" s="133">
        <f>1480209.31/12278813.87</f>
        <v>0.12054986138494175</v>
      </c>
      <c r="P73" s="39">
        <f>P18</f>
        <v>2038131.69</v>
      </c>
    </row>
    <row r="74" spans="1:16" ht="12.75">
      <c r="A74" s="21">
        <v>4</v>
      </c>
      <c r="B74" s="241" t="s">
        <v>126</v>
      </c>
      <c r="C74" s="233"/>
      <c r="D74" s="233"/>
      <c r="E74" s="233"/>
      <c r="F74" s="233"/>
      <c r="G74" s="233"/>
      <c r="H74" s="244"/>
      <c r="I74" s="244"/>
      <c r="J74" s="244"/>
      <c r="K74" s="233"/>
      <c r="L74" s="233"/>
      <c r="M74" s="233"/>
      <c r="N74" s="233"/>
      <c r="O74" s="132"/>
      <c r="P74" s="234"/>
    </row>
    <row r="75" spans="1:16" ht="12.75">
      <c r="A75" s="21"/>
      <c r="B75" s="232"/>
      <c r="C75" s="233"/>
      <c r="D75" s="233"/>
      <c r="E75" s="233"/>
      <c r="F75" s="233"/>
      <c r="G75" s="233"/>
      <c r="H75" s="242"/>
      <c r="I75" s="242"/>
      <c r="J75" s="242"/>
      <c r="K75" s="242"/>
      <c r="L75" s="233"/>
      <c r="M75" s="233"/>
      <c r="N75" s="233"/>
      <c r="O75" s="132">
        <f>278262.87/12278813.87</f>
        <v>0.022662031768382853</v>
      </c>
      <c r="P75" s="234">
        <f>P20</f>
        <v>291516.26674044173</v>
      </c>
    </row>
    <row r="76" spans="1:16" ht="24">
      <c r="A76" s="237">
        <v>5</v>
      </c>
      <c r="B76" s="240" t="s">
        <v>139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34"/>
      <c r="P76" s="236"/>
    </row>
    <row r="77" spans="1:16" ht="12.75">
      <c r="A77" s="238"/>
      <c r="B77" s="20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133">
        <f>12118.16/12278813.87</f>
        <v>0.0009869161735245036</v>
      </c>
      <c r="P77" s="39">
        <f>P22</f>
        <v>12695.336829556172</v>
      </c>
    </row>
    <row r="78" spans="1:16" ht="12.75">
      <c r="A78" s="21">
        <v>6</v>
      </c>
      <c r="B78" s="241" t="s">
        <v>142</v>
      </c>
      <c r="C78" s="111" t="s">
        <v>1054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132"/>
      <c r="P78" s="234"/>
    </row>
    <row r="79" spans="1:16" ht="12.75">
      <c r="A79" s="21"/>
      <c r="B79" s="232"/>
      <c r="C79" s="245">
        <f>226228.49*1.047629</f>
        <v>237003.52675020997</v>
      </c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132">
        <f>378885.36/12278813.87</f>
        <v>0.030856837151486197</v>
      </c>
      <c r="P79" s="234">
        <f>SUM(C79:N79)+P24</f>
        <v>474007.05350041995</v>
      </c>
    </row>
    <row r="80" spans="1:16" ht="12.75">
      <c r="A80" s="237">
        <v>7</v>
      </c>
      <c r="B80" s="240" t="s">
        <v>152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34"/>
      <c r="P80" s="236"/>
    </row>
    <row r="81" spans="1:16" ht="12.75">
      <c r="A81" s="238"/>
      <c r="B81" s="20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133"/>
      <c r="P81" s="39"/>
    </row>
    <row r="82" spans="1:16" ht="12.75">
      <c r="A82" s="21">
        <v>8</v>
      </c>
      <c r="B82" s="241" t="s">
        <v>173</v>
      </c>
      <c r="C82" s="233"/>
      <c r="D82" s="233"/>
      <c r="E82" s="111" t="s">
        <v>1054</v>
      </c>
      <c r="F82" s="111" t="s">
        <v>1054</v>
      </c>
      <c r="G82" s="111" t="s">
        <v>1054</v>
      </c>
      <c r="H82" s="233"/>
      <c r="I82" s="233"/>
      <c r="J82" s="233"/>
      <c r="K82" s="233"/>
      <c r="L82" s="233"/>
      <c r="M82" s="233"/>
      <c r="N82" s="233"/>
      <c r="O82" s="132"/>
      <c r="P82" s="234"/>
    </row>
    <row r="83" spans="1:16" ht="12.75">
      <c r="A83" s="21"/>
      <c r="B83" s="232"/>
      <c r="C83" s="233"/>
      <c r="D83" s="233"/>
      <c r="E83" s="245">
        <v>19545.16</v>
      </c>
      <c r="F83" s="245">
        <v>19545.16</v>
      </c>
      <c r="G83" s="245">
        <v>19545.16</v>
      </c>
      <c r="H83" s="233"/>
      <c r="I83" s="233"/>
      <c r="J83" s="233"/>
      <c r="K83" s="233"/>
      <c r="L83" s="233"/>
      <c r="M83" s="233"/>
      <c r="N83" s="233"/>
      <c r="O83" s="132">
        <f>324893.01/12278813.87</f>
        <v>0.026459641251977056</v>
      </c>
      <c r="P83" s="234">
        <f>SUM(E83:O83)</f>
        <v>58635.50645964125</v>
      </c>
    </row>
    <row r="84" spans="1:16" ht="12.75">
      <c r="A84" s="237">
        <v>9</v>
      </c>
      <c r="B84" s="240" t="s">
        <v>904</v>
      </c>
      <c r="C84" s="244" t="s">
        <v>1054</v>
      </c>
      <c r="D84" s="244" t="s">
        <v>1054</v>
      </c>
      <c r="E84" s="244" t="s">
        <v>1054</v>
      </c>
      <c r="F84" s="244" t="s">
        <v>1054</v>
      </c>
      <c r="G84" s="244" t="s">
        <v>1054</v>
      </c>
      <c r="H84" s="110"/>
      <c r="I84" s="110"/>
      <c r="J84" s="110"/>
      <c r="K84" s="110"/>
      <c r="L84" s="110"/>
      <c r="M84" s="110"/>
      <c r="N84" s="110"/>
      <c r="O84" s="134"/>
      <c r="P84" s="236"/>
    </row>
    <row r="85" spans="1:18" ht="12.75">
      <c r="A85" s="238"/>
      <c r="B85" s="20"/>
      <c r="C85" s="242">
        <f>33767.6*1.047629</f>
        <v>35375.9170204</v>
      </c>
      <c r="D85" s="242">
        <f>33767.6*1.047629</f>
        <v>35375.9170204</v>
      </c>
      <c r="E85" s="242">
        <f>(33767.6*1.047629)+40742.66+8268.96</f>
        <v>84387.53702039999</v>
      </c>
      <c r="F85" s="242">
        <v>84387.54</v>
      </c>
      <c r="G85" s="242">
        <v>84387.53</v>
      </c>
      <c r="H85" s="22"/>
      <c r="I85" s="22"/>
      <c r="J85" s="22"/>
      <c r="K85" s="22"/>
      <c r="L85" s="22"/>
      <c r="M85" s="22"/>
      <c r="N85" s="22"/>
      <c r="O85" s="133">
        <f>337676.04/12278813.87</f>
        <v>0.027500705163796085</v>
      </c>
      <c r="P85" s="39">
        <f>SUM(C85:N85)+P30</f>
        <v>500794.0518319509</v>
      </c>
      <c r="R85" s="42"/>
    </row>
    <row r="86" spans="1:18" ht="12.75">
      <c r="A86" s="21">
        <v>10</v>
      </c>
      <c r="B86" s="241" t="s">
        <v>212</v>
      </c>
      <c r="C86" s="233"/>
      <c r="D86" s="233"/>
      <c r="E86" s="244" t="s">
        <v>1054</v>
      </c>
      <c r="F86" s="244" t="s">
        <v>1054</v>
      </c>
      <c r="G86" s="244" t="s">
        <v>1054</v>
      </c>
      <c r="H86" s="244" t="s">
        <v>1054</v>
      </c>
      <c r="I86" s="244" t="s">
        <v>1054</v>
      </c>
      <c r="J86" s="244" t="s">
        <v>1054</v>
      </c>
      <c r="K86" s="244" t="s">
        <v>1054</v>
      </c>
      <c r="L86" s="244" t="s">
        <v>1054</v>
      </c>
      <c r="M86" s="244" t="s">
        <v>1054</v>
      </c>
      <c r="N86" s="244" t="s">
        <v>1054</v>
      </c>
      <c r="O86" s="132"/>
      <c r="P86" s="234"/>
      <c r="R86" s="42"/>
    </row>
    <row r="87" spans="1:16" ht="12.75">
      <c r="A87" s="21"/>
      <c r="B87" s="232"/>
      <c r="C87" s="233"/>
      <c r="D87" s="233"/>
      <c r="E87" s="245">
        <f>93588.83*1.047629</f>
        <v>98046.37238407</v>
      </c>
      <c r="F87" s="245">
        <f aca="true" t="shared" si="2" ref="F87:L87">93588.83*1.047629</f>
        <v>98046.37238407</v>
      </c>
      <c r="G87" s="245">
        <f t="shared" si="2"/>
        <v>98046.37238407</v>
      </c>
      <c r="H87" s="245">
        <f t="shared" si="2"/>
        <v>98046.37238407</v>
      </c>
      <c r="I87" s="245">
        <f t="shared" si="2"/>
        <v>98046.37238407</v>
      </c>
      <c r="J87" s="245">
        <f t="shared" si="2"/>
        <v>98046.37238407</v>
      </c>
      <c r="K87" s="245">
        <f t="shared" si="2"/>
        <v>98046.37238407</v>
      </c>
      <c r="L87" s="245">
        <f t="shared" si="2"/>
        <v>98046.37238407</v>
      </c>
      <c r="M87" s="245">
        <f>98046.35-20385.86</f>
        <v>77660.49</v>
      </c>
      <c r="N87" s="245">
        <v>77660.48</v>
      </c>
      <c r="O87" s="132">
        <f>935888.34/12278813.87</f>
        <v>0.07621976763460786</v>
      </c>
      <c r="P87" s="234">
        <f>SUM(E87:O87)</f>
        <v>939692.0252923275</v>
      </c>
    </row>
    <row r="88" spans="1:16" ht="12.75">
      <c r="A88" s="237">
        <v>11</v>
      </c>
      <c r="B88" s="240" t="s">
        <v>245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34"/>
      <c r="P88" s="236"/>
    </row>
    <row r="89" spans="1:16" ht="12.75">
      <c r="A89" s="238"/>
      <c r="B89" s="2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33"/>
      <c r="P89" s="39"/>
    </row>
    <row r="90" spans="1:16" ht="12.75">
      <c r="A90" s="21">
        <v>12</v>
      </c>
      <c r="B90" s="241" t="s">
        <v>250</v>
      </c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132"/>
      <c r="P90" s="234"/>
    </row>
    <row r="91" spans="1:16" ht="12.75">
      <c r="A91" s="21"/>
      <c r="B91" s="232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132"/>
      <c r="P91" s="234"/>
    </row>
    <row r="92" spans="1:16" ht="12.75">
      <c r="A92" s="237">
        <v>13</v>
      </c>
      <c r="B92" s="240" t="s">
        <v>293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34"/>
      <c r="P92" s="236"/>
    </row>
    <row r="93" spans="1:16" ht="12.75">
      <c r="A93" s="238"/>
      <c r="B93" s="2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33"/>
      <c r="P93" s="39"/>
    </row>
    <row r="94" spans="1:16" ht="12.75">
      <c r="A94" s="21">
        <v>14</v>
      </c>
      <c r="B94" s="241" t="s">
        <v>314</v>
      </c>
      <c r="C94" s="244" t="s">
        <v>1054</v>
      </c>
      <c r="D94" s="244" t="s">
        <v>1054</v>
      </c>
      <c r="E94" s="244" t="s">
        <v>1054</v>
      </c>
      <c r="F94" s="244" t="s">
        <v>1054</v>
      </c>
      <c r="G94" s="244" t="s">
        <v>1054</v>
      </c>
      <c r="H94" s="244" t="s">
        <v>1054</v>
      </c>
      <c r="I94" s="233"/>
      <c r="J94" s="233"/>
      <c r="K94" s="233"/>
      <c r="L94" s="233"/>
      <c r="M94" s="233"/>
      <c r="N94" s="233"/>
      <c r="O94" s="132"/>
      <c r="P94" s="234"/>
    </row>
    <row r="95" spans="1:16" ht="12.75">
      <c r="A95" s="21"/>
      <c r="B95" s="232"/>
      <c r="C95" s="245">
        <f aca="true" t="shared" si="3" ref="C95:H95">47809.2*1.047629</f>
        <v>50086.304386799995</v>
      </c>
      <c r="D95" s="245">
        <f t="shared" si="3"/>
        <v>50086.304386799995</v>
      </c>
      <c r="E95" s="245">
        <f t="shared" si="3"/>
        <v>50086.304386799995</v>
      </c>
      <c r="F95" s="245">
        <f t="shared" si="3"/>
        <v>50086.304386799995</v>
      </c>
      <c r="G95" s="245">
        <f t="shared" si="3"/>
        <v>50086.304386799995</v>
      </c>
      <c r="H95" s="245">
        <f t="shared" si="3"/>
        <v>50086.304386799995</v>
      </c>
      <c r="I95" s="233"/>
      <c r="J95" s="233"/>
      <c r="K95" s="233"/>
      <c r="L95" s="233"/>
      <c r="M95" s="233"/>
      <c r="N95" s="233"/>
      <c r="O95" s="132">
        <f>573710.42/12278813.87</f>
        <v>0.04672360262758833</v>
      </c>
      <c r="P95" s="234">
        <f>SUM(C95:N95)+P40</f>
        <v>484491.80665779</v>
      </c>
    </row>
    <row r="96" spans="1:16" ht="24">
      <c r="A96" s="237">
        <v>15</v>
      </c>
      <c r="B96" s="240" t="s">
        <v>467</v>
      </c>
      <c r="C96" s="244" t="s">
        <v>1054</v>
      </c>
      <c r="D96" s="244" t="s">
        <v>1054</v>
      </c>
      <c r="E96" s="244" t="s">
        <v>1054</v>
      </c>
      <c r="F96" s="244" t="s">
        <v>1054</v>
      </c>
      <c r="G96" s="244" t="s">
        <v>1054</v>
      </c>
      <c r="H96" s="244" t="s">
        <v>1054</v>
      </c>
      <c r="I96" s="244" t="s">
        <v>1054</v>
      </c>
      <c r="J96" s="244" t="s">
        <v>1054</v>
      </c>
      <c r="K96" s="244" t="s">
        <v>1054</v>
      </c>
      <c r="L96" s="244" t="s">
        <v>1054</v>
      </c>
      <c r="M96" s="244" t="s">
        <v>1054</v>
      </c>
      <c r="N96" s="244" t="s">
        <v>1054</v>
      </c>
      <c r="O96" s="134"/>
      <c r="P96" s="236"/>
    </row>
    <row r="97" spans="1:16" ht="12.75">
      <c r="A97" s="238"/>
      <c r="B97" s="20"/>
      <c r="C97" s="242">
        <f>145762.61*1.047629</f>
        <v>152705.13735168998</v>
      </c>
      <c r="D97" s="242">
        <f aca="true" t="shared" si="4" ref="D97:N97">145762.61*1.047629</f>
        <v>152705.13735168998</v>
      </c>
      <c r="E97" s="242">
        <f t="shared" si="4"/>
        <v>152705.13735168998</v>
      </c>
      <c r="F97" s="242">
        <f t="shared" si="4"/>
        <v>152705.13735168998</v>
      </c>
      <c r="G97" s="242">
        <f t="shared" si="4"/>
        <v>152705.13735168998</v>
      </c>
      <c r="H97" s="242">
        <f t="shared" si="4"/>
        <v>152705.13735168998</v>
      </c>
      <c r="I97" s="242">
        <f t="shared" si="4"/>
        <v>152705.13735168998</v>
      </c>
      <c r="J97" s="242">
        <f t="shared" si="4"/>
        <v>152705.13735168998</v>
      </c>
      <c r="K97" s="242">
        <f t="shared" si="4"/>
        <v>152705.13735168998</v>
      </c>
      <c r="L97" s="242">
        <f t="shared" si="4"/>
        <v>152705.13735168998</v>
      </c>
      <c r="M97" s="242">
        <f t="shared" si="4"/>
        <v>152705.13735168998</v>
      </c>
      <c r="N97" s="242">
        <f t="shared" si="4"/>
        <v>152705.13735168998</v>
      </c>
      <c r="O97" s="133">
        <f>2623727.05/12278813.87</f>
        <v>0.21367919391712384</v>
      </c>
      <c r="P97" s="39">
        <f>SUM(C97:N97)+P42</f>
        <v>2748692.4855719693</v>
      </c>
    </row>
    <row r="98" spans="1:16" ht="12.75">
      <c r="A98" s="24">
        <v>16</v>
      </c>
      <c r="B98" s="235" t="s">
        <v>905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32"/>
      <c r="P98" s="38"/>
    </row>
    <row r="99" spans="1:16" ht="12.75">
      <c r="A99" s="19"/>
      <c r="B99" s="20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33"/>
      <c r="P99" s="39"/>
    </row>
    <row r="100" spans="1:16" ht="12.75">
      <c r="A100" s="24">
        <v>17</v>
      </c>
      <c r="B100" s="239" t="s">
        <v>888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35"/>
      <c r="O100" s="134"/>
      <c r="P100" s="38"/>
    </row>
    <row r="101" spans="1:16" ht="12.75">
      <c r="A101" s="19"/>
      <c r="B101" s="20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33"/>
      <c r="P101" s="39"/>
    </row>
    <row r="102" spans="1:16" ht="12.75">
      <c r="A102" s="24">
        <v>18</v>
      </c>
      <c r="B102" s="130" t="s">
        <v>30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31"/>
      <c r="O102" s="134"/>
      <c r="P102" s="38"/>
    </row>
    <row r="103" spans="1:16" ht="12.75">
      <c r="A103" s="19"/>
      <c r="B103" s="20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33"/>
      <c r="P103" s="39"/>
    </row>
    <row r="104" spans="1:16" ht="12.75">
      <c r="A104" s="32" t="s">
        <v>8</v>
      </c>
      <c r="B104" s="27"/>
      <c r="C104" s="50">
        <f>SUM(C68:C103)</f>
        <v>511691.2355090999</v>
      </c>
      <c r="D104" s="50">
        <f>SUM(D68:D103)</f>
        <v>274687.70875889</v>
      </c>
      <c r="E104" s="50">
        <f aca="true" t="shared" si="5" ref="E104:M104">SUM(E68:E103)</f>
        <v>441290.86114295997</v>
      </c>
      <c r="F104" s="50">
        <f t="shared" si="5"/>
        <v>441290.86412255996</v>
      </c>
      <c r="G104" s="50">
        <f t="shared" si="5"/>
        <v>441290.85412255995</v>
      </c>
      <c r="H104" s="50">
        <f t="shared" si="5"/>
        <v>337358.16412255995</v>
      </c>
      <c r="I104" s="50">
        <f t="shared" si="5"/>
        <v>287271.85973575996</v>
      </c>
      <c r="J104" s="50">
        <f t="shared" si="5"/>
        <v>287271.85973575996</v>
      </c>
      <c r="K104" s="50">
        <f t="shared" si="5"/>
        <v>287271.85973575996</v>
      </c>
      <c r="L104" s="50">
        <f t="shared" si="5"/>
        <v>287271.85973575996</v>
      </c>
      <c r="M104" s="50">
        <f t="shared" si="5"/>
        <v>266885.97735168994</v>
      </c>
      <c r="N104" s="50">
        <f>SUM(N68:N103)</f>
        <v>266885.96735168993</v>
      </c>
      <c r="O104" s="251">
        <f>SUM(O68:O103)</f>
        <v>0.712267025349086</v>
      </c>
      <c r="P104" s="40">
        <f>SUM(P68:P103)</f>
        <v>9263508.918801818</v>
      </c>
    </row>
    <row r="105" spans="1:16" ht="12.75">
      <c r="A105" s="33" t="s">
        <v>4</v>
      </c>
      <c r="B105" s="28"/>
      <c r="C105" s="30">
        <f>C104/$P$159</f>
        <v>0.03843683937269508</v>
      </c>
      <c r="D105" s="30">
        <f>D104/P159</f>
        <v>0.02063378578043152</v>
      </c>
      <c r="E105" s="30">
        <f>E104/P159</f>
        <v>0.0331485567258433</v>
      </c>
      <c r="F105" s="30">
        <f>F104/P159</f>
        <v>0.033148556949662664</v>
      </c>
      <c r="G105" s="30">
        <f>G104/P159</f>
        <v>0.033148556198490144</v>
      </c>
      <c r="H105" s="30">
        <f>H104/P159</f>
        <v>0.025341418155315532</v>
      </c>
      <c r="I105" s="30">
        <f>I104/P159</f>
        <v>0.02157907261783152</v>
      </c>
      <c r="J105" s="30">
        <f>J104/P159</f>
        <v>0.02157907261783152</v>
      </c>
      <c r="K105" s="30">
        <f>K104/P159</f>
        <v>0.02157907261783152</v>
      </c>
      <c r="L105" s="30">
        <f>L104/P159</f>
        <v>0.02157907261783152</v>
      </c>
      <c r="M105" s="30">
        <f>M104/P159</f>
        <v>0.02004774115797653</v>
      </c>
      <c r="N105" s="30">
        <f>N104/P159</f>
        <v>0.020047740406804012</v>
      </c>
      <c r="O105" s="30"/>
      <c r="P105" s="30"/>
    </row>
    <row r="106" spans="1:16" ht="12.75">
      <c r="A106" s="33" t="s">
        <v>9</v>
      </c>
      <c r="B106" s="26"/>
      <c r="C106" s="112">
        <f>C104+N51</f>
        <v>5644730.942807158</v>
      </c>
      <c r="D106" s="112">
        <f>C106+D104</f>
        <v>5919418.651566048</v>
      </c>
      <c r="E106" s="112">
        <f aca="true" t="shared" si="6" ref="E106:N106">D106+E104</f>
        <v>6360709.5127090085</v>
      </c>
      <c r="F106" s="112">
        <f t="shared" si="6"/>
        <v>6802000.376831569</v>
      </c>
      <c r="G106" s="112">
        <f t="shared" si="6"/>
        <v>7243291.230954128</v>
      </c>
      <c r="H106" s="112">
        <f t="shared" si="6"/>
        <v>7580649.395076688</v>
      </c>
      <c r="I106" s="112">
        <f t="shared" si="6"/>
        <v>7867921.254812448</v>
      </c>
      <c r="J106" s="112">
        <f t="shared" si="6"/>
        <v>8155193.114548208</v>
      </c>
      <c r="K106" s="112">
        <f t="shared" si="6"/>
        <v>8442464.974283969</v>
      </c>
      <c r="L106" s="112">
        <f t="shared" si="6"/>
        <v>8729736.83401973</v>
      </c>
      <c r="M106" s="112">
        <f t="shared" si="6"/>
        <v>8996622.81137142</v>
      </c>
      <c r="N106" s="112">
        <f t="shared" si="6"/>
        <v>9263508.77872311</v>
      </c>
      <c r="O106" s="46"/>
      <c r="P106" s="41">
        <f>P104</f>
        <v>9263508.918801818</v>
      </c>
    </row>
    <row r="107" spans="1:16" ht="12.75">
      <c r="A107" s="34" t="s">
        <v>5</v>
      </c>
      <c r="B107" s="29"/>
      <c r="C107" s="31">
        <f>C106/P161</f>
        <v>0.4240166754759705</v>
      </c>
      <c r="D107" s="31">
        <f>C107+D105</f>
        <v>0.444650461256402</v>
      </c>
      <c r="E107" s="31">
        <f aca="true" t="shared" si="7" ref="E107:N107">D107+E105</f>
        <v>0.47779901798224533</v>
      </c>
      <c r="F107" s="31">
        <f t="shared" si="7"/>
        <v>0.510947574931908</v>
      </c>
      <c r="G107" s="31">
        <f t="shared" si="7"/>
        <v>0.5440961311303981</v>
      </c>
      <c r="H107" s="31">
        <f t="shared" si="7"/>
        <v>0.5694375492857137</v>
      </c>
      <c r="I107" s="31">
        <f t="shared" si="7"/>
        <v>0.5910166219035452</v>
      </c>
      <c r="J107" s="31">
        <f t="shared" si="7"/>
        <v>0.6125956945213767</v>
      </c>
      <c r="K107" s="31">
        <f t="shared" si="7"/>
        <v>0.6341747671392083</v>
      </c>
      <c r="L107" s="31">
        <f t="shared" si="7"/>
        <v>0.6557538397570398</v>
      </c>
      <c r="M107" s="31">
        <f>L107+M105</f>
        <v>0.6758015809150164</v>
      </c>
      <c r="N107" s="31">
        <f t="shared" si="7"/>
        <v>0.6958493213218204</v>
      </c>
      <c r="O107" s="47"/>
      <c r="P107" s="47"/>
    </row>
    <row r="111" spans="1:16" ht="12.75">
      <c r="A111" s="136"/>
      <c r="B111" s="137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9"/>
      <c r="P111" s="140"/>
    </row>
    <row r="112" spans="1:16" ht="12.75">
      <c r="A112" s="141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/>
      <c r="P112" s="142"/>
    </row>
    <row r="113" spans="1:16" ht="12.75">
      <c r="A113" s="141"/>
      <c r="B113" s="278" t="s">
        <v>19</v>
      </c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9"/>
    </row>
    <row r="114" spans="1:16" ht="12.75">
      <c r="A114" s="141"/>
      <c r="B114" s="5" t="s">
        <v>20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45"/>
      <c r="P114" s="143"/>
    </row>
    <row r="115" spans="1:16" ht="12.75">
      <c r="A115" s="144"/>
      <c r="B115" s="4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/>
      <c r="P115" s="145"/>
    </row>
    <row r="116" spans="1:16" ht="12.75">
      <c r="A116" s="144"/>
      <c r="B116" s="4" t="s">
        <v>1052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/>
      <c r="P116" s="145"/>
    </row>
    <row r="117" spans="1:16" ht="12.75">
      <c r="A117" s="146"/>
      <c r="B117" s="7" t="s">
        <v>1059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47"/>
      <c r="P117" s="148"/>
    </row>
    <row r="118" spans="1:16" ht="12.75">
      <c r="A118" s="146"/>
      <c r="B118" s="7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47"/>
      <c r="P118" s="148"/>
    </row>
    <row r="119" spans="1:16" ht="12.75">
      <c r="A119" s="280" t="s">
        <v>1060</v>
      </c>
      <c r="B119" s="281"/>
      <c r="C119" s="281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2"/>
    </row>
    <row r="120" spans="1:16" ht="12.75">
      <c r="A120" s="146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47"/>
      <c r="P120" s="148"/>
    </row>
    <row r="121" spans="1:16" ht="12.75">
      <c r="A121" s="15" t="s">
        <v>0</v>
      </c>
      <c r="B121" s="15" t="s">
        <v>1</v>
      </c>
      <c r="C121" s="283" t="s">
        <v>7</v>
      </c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5" t="s">
        <v>16</v>
      </c>
      <c r="P121" s="36" t="s">
        <v>2</v>
      </c>
    </row>
    <row r="122" spans="1:16" ht="12.75">
      <c r="A122" s="16"/>
      <c r="B122" s="16"/>
      <c r="C122" s="16">
        <f>30+365+365</f>
        <v>760</v>
      </c>
      <c r="D122" s="16">
        <f>60+365+365</f>
        <v>790</v>
      </c>
      <c r="E122" s="16">
        <f>90+365+365</f>
        <v>820</v>
      </c>
      <c r="F122" s="16">
        <f>120+365+365</f>
        <v>850</v>
      </c>
      <c r="G122" s="16">
        <f>150+365+365</f>
        <v>880</v>
      </c>
      <c r="H122" s="16">
        <f>180+365+365</f>
        <v>910</v>
      </c>
      <c r="I122" s="16"/>
      <c r="J122" s="16"/>
      <c r="K122" s="16"/>
      <c r="L122" s="16"/>
      <c r="M122" s="16"/>
      <c r="N122" s="16"/>
      <c r="O122" s="286"/>
      <c r="P122" s="37" t="s">
        <v>3</v>
      </c>
    </row>
    <row r="123" spans="1:16" ht="12.75">
      <c r="A123" s="21">
        <v>1</v>
      </c>
      <c r="B123" s="25" t="s">
        <v>23</v>
      </c>
      <c r="C123" s="111" t="s">
        <v>1054</v>
      </c>
      <c r="D123" s="111" t="s">
        <v>1054</v>
      </c>
      <c r="E123" s="111" t="s">
        <v>1054</v>
      </c>
      <c r="F123" s="111" t="s">
        <v>1054</v>
      </c>
      <c r="G123" s="111" t="s">
        <v>1054</v>
      </c>
      <c r="H123" s="111" t="s">
        <v>1054</v>
      </c>
      <c r="I123" s="111"/>
      <c r="J123" s="111"/>
      <c r="K123" s="111"/>
      <c r="L123" s="111"/>
      <c r="M123" s="111"/>
      <c r="N123" s="111"/>
      <c r="O123" s="132"/>
      <c r="P123" s="38"/>
    </row>
    <row r="124" spans="1:18" ht="12.75">
      <c r="A124" s="23"/>
      <c r="B124" s="20"/>
      <c r="C124" s="242">
        <v>36520.35</v>
      </c>
      <c r="D124" s="242">
        <v>36520.35</v>
      </c>
      <c r="E124" s="242">
        <v>36520.35</v>
      </c>
      <c r="F124" s="242">
        <v>36520.35</v>
      </c>
      <c r="G124" s="242">
        <v>36520.32</v>
      </c>
      <c r="H124" s="242">
        <v>36520.3</v>
      </c>
      <c r="I124" s="242"/>
      <c r="J124" s="242"/>
      <c r="K124" s="242"/>
      <c r="L124" s="242"/>
      <c r="M124" s="242"/>
      <c r="N124" s="242"/>
      <c r="O124" s="133">
        <f>1428872.99/12278813.87</f>
        <v>0.11636897546684614</v>
      </c>
      <c r="P124" s="39">
        <f>SUM(C124:N124)+P69</f>
        <v>1334392.0169399998</v>
      </c>
      <c r="R124" s="42"/>
    </row>
    <row r="125" spans="1:16" ht="12.75">
      <c r="A125" s="21">
        <v>2</v>
      </c>
      <c r="B125" s="241" t="s">
        <v>48</v>
      </c>
      <c r="C125" s="233"/>
      <c r="D125" s="111"/>
      <c r="E125" s="111"/>
      <c r="F125" s="233"/>
      <c r="G125" s="233"/>
      <c r="H125" s="233"/>
      <c r="I125" s="233"/>
      <c r="J125" s="233"/>
      <c r="K125" s="233"/>
      <c r="L125" s="233"/>
      <c r="M125" s="233"/>
      <c r="N125" s="233"/>
      <c r="O125" s="132"/>
      <c r="P125" s="234"/>
    </row>
    <row r="126" spans="1:16" ht="12.75">
      <c r="A126" s="21"/>
      <c r="B126" s="232"/>
      <c r="C126" s="233"/>
      <c r="D126" s="242"/>
      <c r="E126" s="242"/>
      <c r="F126" s="233"/>
      <c r="G126" s="233"/>
      <c r="H126" s="233"/>
      <c r="I126" s="233"/>
      <c r="J126" s="233"/>
      <c r="K126" s="233"/>
      <c r="L126" s="233"/>
      <c r="M126" s="233"/>
      <c r="N126" s="233"/>
      <c r="O126" s="132">
        <f>580710.68/12278813.87</f>
        <v>0.04729371144054976</v>
      </c>
      <c r="P126" s="234">
        <f>P71</f>
        <v>599582.69897772</v>
      </c>
    </row>
    <row r="127" spans="1:16" ht="12.75">
      <c r="A127" s="237">
        <v>3</v>
      </c>
      <c r="B127" s="240" t="s">
        <v>106</v>
      </c>
      <c r="C127" s="110"/>
      <c r="D127" s="110"/>
      <c r="E127" s="111"/>
      <c r="F127" s="243"/>
      <c r="G127" s="244"/>
      <c r="H127" s="244"/>
      <c r="I127" s="110"/>
      <c r="J127" s="110"/>
      <c r="K127" s="110"/>
      <c r="L127" s="110"/>
      <c r="M127" s="110"/>
      <c r="N127" s="110"/>
      <c r="O127" s="134"/>
      <c r="P127" s="236"/>
    </row>
    <row r="128" spans="1:16" ht="12.75">
      <c r="A128" s="238"/>
      <c r="B128" s="20"/>
      <c r="C128" s="22"/>
      <c r="D128" s="22"/>
      <c r="E128" s="242"/>
      <c r="F128" s="242"/>
      <c r="G128" s="242"/>
      <c r="H128" s="242"/>
      <c r="I128" s="22"/>
      <c r="J128" s="22"/>
      <c r="K128" s="22"/>
      <c r="L128" s="22"/>
      <c r="M128" s="22"/>
      <c r="N128" s="22"/>
      <c r="O128" s="133">
        <f>1480209.31/12278813.87</f>
        <v>0.12054986138494175</v>
      </c>
      <c r="P128" s="39">
        <f>P73</f>
        <v>2038131.69</v>
      </c>
    </row>
    <row r="129" spans="1:16" ht="12.75">
      <c r="A129" s="21">
        <v>4</v>
      </c>
      <c r="B129" s="241" t="s">
        <v>126</v>
      </c>
      <c r="C129" s="233"/>
      <c r="D129" s="111" t="s">
        <v>1054</v>
      </c>
      <c r="E129" s="111" t="s">
        <v>1054</v>
      </c>
      <c r="F129" s="111" t="s">
        <v>1054</v>
      </c>
      <c r="G129" s="233"/>
      <c r="H129" s="244"/>
      <c r="I129" s="244"/>
      <c r="J129" s="244"/>
      <c r="K129" s="233"/>
      <c r="L129" s="233"/>
      <c r="M129" s="233"/>
      <c r="N129" s="233"/>
      <c r="O129" s="132"/>
      <c r="P129" s="234"/>
    </row>
    <row r="130" spans="1:16" ht="12.75">
      <c r="A130" s="21"/>
      <c r="B130" s="232"/>
      <c r="C130" s="233"/>
      <c r="D130" s="245">
        <f>45740.37*1.047629</f>
        <v>47918.93808273</v>
      </c>
      <c r="E130" s="245">
        <f>45740.37*1.047629</f>
        <v>47918.93808273</v>
      </c>
      <c r="F130" s="245">
        <v>47918.92</v>
      </c>
      <c r="G130" s="233"/>
      <c r="H130" s="242"/>
      <c r="I130" s="242"/>
      <c r="J130" s="242"/>
      <c r="K130" s="242"/>
      <c r="L130" s="233"/>
      <c r="M130" s="233"/>
      <c r="N130" s="233"/>
      <c r="O130" s="132">
        <f>415483.97/12278813.87</f>
        <v>0.0338374678856501</v>
      </c>
      <c r="P130" s="234">
        <f>SUM(D130:N130)+P75</f>
        <v>435273.0629059017</v>
      </c>
    </row>
    <row r="131" spans="1:16" ht="24">
      <c r="A131" s="237">
        <v>5</v>
      </c>
      <c r="B131" s="240" t="s">
        <v>139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34"/>
      <c r="P131" s="236"/>
    </row>
    <row r="132" spans="1:16" ht="12.75">
      <c r="A132" s="238"/>
      <c r="B132" s="20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33">
        <f>12118.16/12278813.87</f>
        <v>0.0009869161735245036</v>
      </c>
      <c r="P132" s="39">
        <f>P22</f>
        <v>12695.336829556172</v>
      </c>
    </row>
    <row r="133" spans="1:16" ht="12.75">
      <c r="A133" s="21">
        <v>6</v>
      </c>
      <c r="B133" s="241" t="s">
        <v>142</v>
      </c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132"/>
      <c r="P133" s="234"/>
    </row>
    <row r="134" spans="1:16" ht="12.75">
      <c r="A134" s="21"/>
      <c r="B134" s="232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132">
        <f>378885.36/12278813.87</f>
        <v>0.030856837151486197</v>
      </c>
      <c r="P134" s="234">
        <f>SUM(C134:N134)+P79</f>
        <v>474007.05350041995</v>
      </c>
    </row>
    <row r="135" spans="1:16" ht="12.75">
      <c r="A135" s="237">
        <v>7</v>
      </c>
      <c r="B135" s="240" t="s">
        <v>152</v>
      </c>
      <c r="C135" s="110"/>
      <c r="D135" s="110"/>
      <c r="E135" s="110"/>
      <c r="F135" s="110"/>
      <c r="G135" s="110"/>
      <c r="H135" s="243" t="s">
        <v>1054</v>
      </c>
      <c r="I135" s="110"/>
      <c r="J135" s="110"/>
      <c r="K135" s="110"/>
      <c r="L135" s="110"/>
      <c r="M135" s="110"/>
      <c r="N135" s="110"/>
      <c r="O135" s="134"/>
      <c r="P135" s="236"/>
    </row>
    <row r="136" spans="1:16" ht="12.75">
      <c r="A136" s="238"/>
      <c r="B136" s="20"/>
      <c r="C136" s="22"/>
      <c r="D136" s="22"/>
      <c r="E136" s="22"/>
      <c r="F136" s="22"/>
      <c r="G136" s="22"/>
      <c r="H136" s="242">
        <f>89242.53*1.047629</f>
        <v>93493.06246136999</v>
      </c>
      <c r="I136" s="22"/>
      <c r="J136" s="22"/>
      <c r="K136" s="22"/>
      <c r="L136" s="22"/>
      <c r="M136" s="22"/>
      <c r="N136" s="22"/>
      <c r="O136" s="133">
        <f>89242.53/12278813.87</f>
        <v>0.007268009023089785</v>
      </c>
      <c r="P136" s="39">
        <f>SUM(H136:N136)</f>
        <v>93493.06246136999</v>
      </c>
    </row>
    <row r="137" spans="1:16" ht="12.75">
      <c r="A137" s="21">
        <v>8</v>
      </c>
      <c r="B137" s="241" t="s">
        <v>173</v>
      </c>
      <c r="C137" s="233"/>
      <c r="D137" s="233"/>
      <c r="E137" s="233"/>
      <c r="F137" s="111" t="s">
        <v>1054</v>
      </c>
      <c r="G137" s="111" t="s">
        <v>1054</v>
      </c>
      <c r="H137" s="111" t="s">
        <v>1054</v>
      </c>
      <c r="I137" s="233"/>
      <c r="J137" s="233"/>
      <c r="K137" s="233"/>
      <c r="L137" s="233"/>
      <c r="M137" s="233"/>
      <c r="N137" s="233"/>
      <c r="O137" s="132"/>
      <c r="P137" s="234"/>
    </row>
    <row r="138" spans="1:16" ht="12.75">
      <c r="A138" s="21"/>
      <c r="B138" s="232"/>
      <c r="C138" s="233"/>
      <c r="D138" s="233"/>
      <c r="E138" s="233"/>
      <c r="F138" s="245">
        <v>175906.45</v>
      </c>
      <c r="G138" s="245">
        <v>175906.42</v>
      </c>
      <c r="H138" s="245">
        <f>175906.4-2219.63</f>
        <v>173686.77</v>
      </c>
      <c r="I138" s="233"/>
      <c r="J138" s="233"/>
      <c r="K138" s="233"/>
      <c r="L138" s="233"/>
      <c r="M138" s="233"/>
      <c r="N138" s="233"/>
      <c r="O138" s="132">
        <f>559697.04/12278813.87</f>
        <v>0.04558233766923287</v>
      </c>
      <c r="P138" s="234">
        <f>SUM(F138:O138)+P83</f>
        <v>584135.1920419789</v>
      </c>
    </row>
    <row r="139" spans="1:16" ht="12.75">
      <c r="A139" s="237">
        <v>9</v>
      </c>
      <c r="B139" s="240" t="s">
        <v>904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34"/>
      <c r="P139" s="236"/>
    </row>
    <row r="140" spans="1:16" ht="12.75">
      <c r="A140" s="238"/>
      <c r="B140" s="20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133">
        <f>337676.04/12278813.87</f>
        <v>0.027500705163796085</v>
      </c>
      <c r="P140" s="39">
        <f>SUM(C140:N140)+P85</f>
        <v>500794.0518319509</v>
      </c>
    </row>
    <row r="141" spans="1:16" ht="12.75">
      <c r="A141" s="21">
        <v>10</v>
      </c>
      <c r="B141" s="241" t="s">
        <v>212</v>
      </c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132"/>
      <c r="P141" s="234"/>
    </row>
    <row r="142" spans="1:16" ht="12.75">
      <c r="A142" s="21"/>
      <c r="B142" s="232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132">
        <f>935888.34/12278813.87</f>
        <v>0.07621976763460786</v>
      </c>
      <c r="P142" s="234">
        <f>P87</f>
        <v>939692.0252923275</v>
      </c>
    </row>
    <row r="143" spans="1:16" ht="12.75">
      <c r="A143" s="237">
        <v>11</v>
      </c>
      <c r="B143" s="240" t="s">
        <v>245</v>
      </c>
      <c r="C143" s="110"/>
      <c r="D143" s="110"/>
      <c r="E143" s="110"/>
      <c r="F143" s="243" t="s">
        <v>1054</v>
      </c>
      <c r="G143" s="244" t="s">
        <v>1054</v>
      </c>
      <c r="H143" s="244" t="s">
        <v>1054</v>
      </c>
      <c r="I143" s="110"/>
      <c r="J143" s="110"/>
      <c r="K143" s="110"/>
      <c r="L143" s="110"/>
      <c r="M143" s="110"/>
      <c r="N143" s="110"/>
      <c r="O143" s="134"/>
      <c r="P143" s="236"/>
    </row>
    <row r="144" spans="1:16" ht="12.75">
      <c r="A144" s="238"/>
      <c r="B144" s="20"/>
      <c r="C144" s="22"/>
      <c r="D144" s="22"/>
      <c r="E144" s="22"/>
      <c r="F144" s="242">
        <f>326160.93*1.047629/3</f>
        <v>113898.54964499</v>
      </c>
      <c r="G144" s="242">
        <v>113898.55</v>
      </c>
      <c r="H144" s="242">
        <v>113898.55</v>
      </c>
      <c r="I144" s="22"/>
      <c r="J144" s="22"/>
      <c r="K144" s="22"/>
      <c r="L144" s="22"/>
      <c r="M144" s="22"/>
      <c r="N144" s="22"/>
      <c r="O144" s="133">
        <f>326160.93/12278813.87</f>
        <v>0.02656290204030921</v>
      </c>
      <c r="P144" s="39">
        <f>SUM(F144:H144)</f>
        <v>341695.64964499</v>
      </c>
    </row>
    <row r="145" spans="1:16" ht="12.75">
      <c r="A145" s="21">
        <v>12</v>
      </c>
      <c r="B145" s="241" t="s">
        <v>250</v>
      </c>
      <c r="C145" s="233"/>
      <c r="D145" s="233"/>
      <c r="E145" s="233"/>
      <c r="F145" s="243" t="s">
        <v>1054</v>
      </c>
      <c r="G145" s="244" t="s">
        <v>1054</v>
      </c>
      <c r="H145" s="244" t="s">
        <v>1054</v>
      </c>
      <c r="I145" s="233"/>
      <c r="J145" s="233"/>
      <c r="K145" s="233"/>
      <c r="L145" s="233"/>
      <c r="M145" s="233"/>
      <c r="N145" s="233"/>
      <c r="O145" s="132"/>
      <c r="P145" s="234"/>
    </row>
    <row r="146" spans="1:16" ht="12.75">
      <c r="A146" s="21"/>
      <c r="B146" s="232"/>
      <c r="C146" s="233"/>
      <c r="D146" s="233"/>
      <c r="E146" s="233"/>
      <c r="F146" s="245">
        <f>(54466.71*1.047629)+22865.28</f>
        <v>79926.18493059</v>
      </c>
      <c r="G146" s="245">
        <v>79926.18</v>
      </c>
      <c r="H146" s="245">
        <v>79926.18</v>
      </c>
      <c r="I146" s="233"/>
      <c r="J146" s="233"/>
      <c r="K146" s="233"/>
      <c r="L146" s="233"/>
      <c r="M146" s="233"/>
      <c r="N146" s="233"/>
      <c r="O146" s="132">
        <f>163400.14/12278813.87</f>
        <v>0.013307485700978382</v>
      </c>
      <c r="P146" s="234">
        <v>239778.57</v>
      </c>
    </row>
    <row r="147" spans="1:16" ht="12.75">
      <c r="A147" s="237">
        <v>13</v>
      </c>
      <c r="B147" s="240" t="s">
        <v>293</v>
      </c>
      <c r="C147" s="110"/>
      <c r="D147" s="243" t="s">
        <v>1054</v>
      </c>
      <c r="E147" s="244" t="s">
        <v>1054</v>
      </c>
      <c r="F147" s="244" t="s">
        <v>1054</v>
      </c>
      <c r="G147" s="244" t="s">
        <v>1054</v>
      </c>
      <c r="H147" s="244" t="s">
        <v>1054</v>
      </c>
      <c r="I147" s="110"/>
      <c r="J147" s="110"/>
      <c r="K147" s="110"/>
      <c r="L147" s="110"/>
      <c r="M147" s="110"/>
      <c r="N147" s="110"/>
      <c r="O147" s="134"/>
      <c r="P147" s="236"/>
    </row>
    <row r="148" spans="1:16" ht="12.75">
      <c r="A148" s="238"/>
      <c r="B148" s="20"/>
      <c r="C148" s="22"/>
      <c r="D148" s="242">
        <f>411002.33*1.047629/5</f>
        <v>86115.591995114</v>
      </c>
      <c r="E148" s="242">
        <v>86115.59</v>
      </c>
      <c r="F148" s="242">
        <v>86115.59</v>
      </c>
      <c r="G148" s="242">
        <v>86115.59</v>
      </c>
      <c r="H148" s="242">
        <v>86115.59</v>
      </c>
      <c r="I148" s="22"/>
      <c r="J148" s="22"/>
      <c r="K148" s="22"/>
      <c r="L148" s="22"/>
      <c r="M148" s="22"/>
      <c r="N148" s="22"/>
      <c r="O148" s="133">
        <f>411002.33/12278813.87</f>
        <v>0.03347247823376282</v>
      </c>
      <c r="P148" s="39">
        <f>SUM(C148:L148)</f>
        <v>430577.951995114</v>
      </c>
    </row>
    <row r="149" spans="1:16" ht="12.75">
      <c r="A149" s="21">
        <v>14</v>
      </c>
      <c r="B149" s="241" t="s">
        <v>314</v>
      </c>
      <c r="C149" s="233"/>
      <c r="D149" s="233"/>
      <c r="E149" s="233"/>
      <c r="F149" s="233"/>
      <c r="G149" s="233"/>
      <c r="H149" s="111" t="s">
        <v>1054</v>
      </c>
      <c r="I149" s="233"/>
      <c r="J149" s="233"/>
      <c r="K149" s="233"/>
      <c r="L149" s="233"/>
      <c r="M149" s="233"/>
      <c r="N149" s="233"/>
      <c r="O149" s="132"/>
      <c r="P149" s="234"/>
    </row>
    <row r="150" spans="1:18" ht="12.75">
      <c r="A150" s="21"/>
      <c r="B150" s="232"/>
      <c r="C150" s="233"/>
      <c r="D150" s="233"/>
      <c r="E150" s="233"/>
      <c r="F150" s="233"/>
      <c r="G150" s="233"/>
      <c r="H150" s="245">
        <v>79515.61</v>
      </c>
      <c r="I150" s="233"/>
      <c r="J150" s="233"/>
      <c r="K150" s="233"/>
      <c r="L150" s="233"/>
      <c r="M150" s="233"/>
      <c r="N150" s="233"/>
      <c r="O150" s="132">
        <f>649983.29/12278813.87</f>
        <v>0.05293534838801169</v>
      </c>
      <c r="P150" s="234">
        <f>SUM(H150:O150)+P95</f>
        <v>564007.4695931383</v>
      </c>
      <c r="R150" s="42"/>
    </row>
    <row r="151" spans="1:16" ht="24">
      <c r="A151" s="237">
        <v>15</v>
      </c>
      <c r="B151" s="240" t="s">
        <v>467</v>
      </c>
      <c r="C151" s="244" t="s">
        <v>1054</v>
      </c>
      <c r="D151" s="244" t="s">
        <v>1054</v>
      </c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34"/>
      <c r="P151" s="236"/>
    </row>
    <row r="152" spans="1:16" ht="12.75">
      <c r="A152" s="238"/>
      <c r="B152" s="20"/>
      <c r="C152" s="242">
        <f>145762.64*1.047629</f>
        <v>152705.16878056</v>
      </c>
      <c r="D152" s="242">
        <v>152705.17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133">
        <f>2915252.34/12278813.87</f>
        <v>0.23742133164202775</v>
      </c>
      <c r="P152" s="39">
        <f>SUM(C152:N152)+P97</f>
        <v>3054102.8243525294</v>
      </c>
    </row>
    <row r="153" spans="1:16" ht="12.75" customHeight="1">
      <c r="A153" s="24" t="s">
        <v>1056</v>
      </c>
      <c r="B153" s="235" t="s">
        <v>905</v>
      </c>
      <c r="C153" s="244" t="s">
        <v>1054</v>
      </c>
      <c r="D153" s="244" t="s">
        <v>1054</v>
      </c>
      <c r="E153" s="244" t="s">
        <v>1054</v>
      </c>
      <c r="F153" s="244" t="s">
        <v>1054</v>
      </c>
      <c r="G153" s="244" t="s">
        <v>1054</v>
      </c>
      <c r="H153" s="244" t="s">
        <v>1054</v>
      </c>
      <c r="I153" s="111"/>
      <c r="J153" s="111"/>
      <c r="K153" s="111"/>
      <c r="L153" s="111"/>
      <c r="M153" s="111"/>
      <c r="N153" s="111"/>
      <c r="O153" s="132"/>
      <c r="P153" s="38"/>
    </row>
    <row r="154" spans="1:16" ht="12.75">
      <c r="A154" s="252" t="s">
        <v>945</v>
      </c>
      <c r="B154" s="20"/>
      <c r="C154" s="242">
        <f>1262981.04*1.047629/6</f>
        <v>220522.59399235997</v>
      </c>
      <c r="D154" s="242">
        <v>220522.59</v>
      </c>
      <c r="E154" s="242">
        <v>220522.59</v>
      </c>
      <c r="F154" s="242">
        <v>220522.59</v>
      </c>
      <c r="G154" s="242">
        <v>220522.6</v>
      </c>
      <c r="H154" s="242">
        <v>220522.6</v>
      </c>
      <c r="I154" s="22"/>
      <c r="J154" s="22"/>
      <c r="K154" s="22"/>
      <c r="L154" s="22"/>
      <c r="M154" s="22"/>
      <c r="N154" s="22"/>
      <c r="O154" s="133">
        <f>1262981.04/12278813.87</f>
        <v>0.10285855404044822</v>
      </c>
      <c r="P154" s="39">
        <f>SUM(C154:N154)</f>
        <v>1323135.5639923601</v>
      </c>
    </row>
    <row r="155" spans="1:16" ht="12.75">
      <c r="A155" s="24" t="s">
        <v>1006</v>
      </c>
      <c r="B155" s="239" t="s">
        <v>888</v>
      </c>
      <c r="C155" s="111"/>
      <c r="D155" s="111"/>
      <c r="E155" s="111"/>
      <c r="F155" s="244" t="s">
        <v>1054</v>
      </c>
      <c r="G155" s="244" t="s">
        <v>1054</v>
      </c>
      <c r="H155" s="244" t="s">
        <v>1054</v>
      </c>
      <c r="I155" s="111"/>
      <c r="J155" s="111"/>
      <c r="K155" s="111"/>
      <c r="L155" s="111"/>
      <c r="M155" s="111"/>
      <c r="N155" s="135"/>
      <c r="O155" s="134"/>
      <c r="P155" s="38"/>
    </row>
    <row r="156" spans="1:16" ht="12.75">
      <c r="A156" s="19"/>
      <c r="B156" s="20"/>
      <c r="C156" s="22"/>
      <c r="D156" s="22"/>
      <c r="E156" s="22"/>
      <c r="F156" s="242">
        <f>28754.22*1.047629/3</f>
        <v>10041.25158146</v>
      </c>
      <c r="G156" s="242">
        <v>10041.25</v>
      </c>
      <c r="H156" s="242">
        <v>10041.26</v>
      </c>
      <c r="I156" s="22"/>
      <c r="J156" s="22"/>
      <c r="K156" s="22"/>
      <c r="L156" s="22"/>
      <c r="M156" s="22"/>
      <c r="N156" s="22"/>
      <c r="O156" s="133">
        <f>28754.22/12278813.87</f>
        <v>0.0023417750529025655</v>
      </c>
      <c r="P156" s="39">
        <f>SUM(F156:O156)</f>
        <v>30123.763923235052</v>
      </c>
    </row>
    <row r="157" spans="1:16" ht="12.75">
      <c r="A157" s="24">
        <v>18</v>
      </c>
      <c r="B157" s="130" t="s">
        <v>30</v>
      </c>
      <c r="C157" s="110"/>
      <c r="D157" s="110"/>
      <c r="E157" s="244" t="s">
        <v>1054</v>
      </c>
      <c r="F157" s="244" t="s">
        <v>1054</v>
      </c>
      <c r="G157" s="244" t="s">
        <v>1054</v>
      </c>
      <c r="H157" s="244" t="s">
        <v>1054</v>
      </c>
      <c r="I157" s="110"/>
      <c r="J157" s="110"/>
      <c r="K157" s="110"/>
      <c r="L157" s="110"/>
      <c r="M157" s="110"/>
      <c r="N157" s="131"/>
      <c r="O157" s="134"/>
      <c r="P157" s="38"/>
    </row>
    <row r="158" spans="1:16" ht="12.75">
      <c r="A158" s="19"/>
      <c r="B158" s="20"/>
      <c r="C158" s="22"/>
      <c r="D158" s="22"/>
      <c r="E158" s="242">
        <v>79225.78</v>
      </c>
      <c r="F158" s="242">
        <v>79225.77</v>
      </c>
      <c r="G158" s="242">
        <v>79225.77</v>
      </c>
      <c r="H158" s="242">
        <v>79225.78</v>
      </c>
      <c r="I158" s="22"/>
      <c r="J158" s="22"/>
      <c r="K158" s="22"/>
      <c r="L158" s="22"/>
      <c r="M158" s="22"/>
      <c r="N158" s="22"/>
      <c r="O158" s="133">
        <f>302495.55/12278813.87</f>
        <v>0.024635567669859956</v>
      </c>
      <c r="P158" s="39">
        <f>SUM(E158:O158)</f>
        <v>316903.12463556766</v>
      </c>
    </row>
    <row r="159" spans="1:16" ht="12.75">
      <c r="A159" s="32" t="s">
        <v>8</v>
      </c>
      <c r="B159" s="27"/>
      <c r="C159" s="50">
        <f aca="true" t="shared" si="8" ref="C159:H159">SUM(C123:C158)</f>
        <v>409748.11277291994</v>
      </c>
      <c r="D159" s="50">
        <f t="shared" si="8"/>
        <v>543782.640077844</v>
      </c>
      <c r="E159" s="50">
        <f t="shared" si="8"/>
        <v>470303.24808273</v>
      </c>
      <c r="F159" s="50">
        <f t="shared" si="8"/>
        <v>850075.6561570399</v>
      </c>
      <c r="G159" s="50">
        <f t="shared" si="8"/>
        <v>802156.68</v>
      </c>
      <c r="H159" s="50">
        <f t="shared" si="8"/>
        <v>972945.7024613699</v>
      </c>
      <c r="I159" s="50"/>
      <c r="J159" s="50"/>
      <c r="K159" s="50"/>
      <c r="L159" s="50"/>
      <c r="M159" s="50"/>
      <c r="N159" s="50"/>
      <c r="O159" s="251">
        <f>SUM(O123:O158)</f>
        <v>1.0000000317620257</v>
      </c>
      <c r="P159" s="40">
        <f>SUM(P124:P158)</f>
        <v>13312521.10891816</v>
      </c>
    </row>
    <row r="160" spans="1:16" ht="12.75">
      <c r="A160" s="33" t="s">
        <v>4</v>
      </c>
      <c r="B160" s="28"/>
      <c r="C160" s="30">
        <f aca="true" t="shared" si="9" ref="C160:H160">C159/$P$159</f>
        <v>0.03077915215461529</v>
      </c>
      <c r="D160" s="30">
        <f t="shared" si="9"/>
        <v>0.040847457489743236</v>
      </c>
      <c r="E160" s="30">
        <f t="shared" si="9"/>
        <v>0.03532788750041269</v>
      </c>
      <c r="F160" s="30">
        <f t="shared" si="9"/>
        <v>0.06385534709782115</v>
      </c>
      <c r="G160" s="30">
        <f t="shared" si="9"/>
        <v>0.06025580530066759</v>
      </c>
      <c r="H160" s="30">
        <f t="shared" si="9"/>
        <v>0.07308500730260523</v>
      </c>
      <c r="I160" s="30"/>
      <c r="J160" s="30"/>
      <c r="K160" s="30"/>
      <c r="L160" s="30"/>
      <c r="M160" s="30"/>
      <c r="N160" s="30"/>
      <c r="O160" s="30"/>
      <c r="P160" s="30"/>
    </row>
    <row r="161" spans="1:16" ht="12.75">
      <c r="A161" s="33" t="s">
        <v>9</v>
      </c>
      <c r="B161" s="26"/>
      <c r="C161" s="112">
        <f>C159+N106</f>
        <v>9673256.891496029</v>
      </c>
      <c r="D161" s="112">
        <f>D159+C161</f>
        <v>10217039.531573873</v>
      </c>
      <c r="E161" s="112">
        <f>E159+D161</f>
        <v>10687342.779656604</v>
      </c>
      <c r="F161" s="112">
        <f>F159+E161</f>
        <v>11537418.435813643</v>
      </c>
      <c r="G161" s="112">
        <f>G159+F161</f>
        <v>12339575.115813643</v>
      </c>
      <c r="H161" s="112">
        <v>13312521.11</v>
      </c>
      <c r="I161" s="112"/>
      <c r="J161" s="112"/>
      <c r="K161" s="112"/>
      <c r="L161" s="112"/>
      <c r="M161" s="112"/>
      <c r="N161" s="112"/>
      <c r="O161" s="46"/>
      <c r="P161" s="41">
        <f>P159</f>
        <v>13312521.10891816</v>
      </c>
    </row>
    <row r="162" spans="1:16" ht="12.75">
      <c r="A162" s="34" t="s">
        <v>5</v>
      </c>
      <c r="B162" s="29"/>
      <c r="C162" s="31">
        <f>C160+N107</f>
        <v>0.7266284734764357</v>
      </c>
      <c r="D162" s="31">
        <f>C162+D160</f>
        <v>0.7674759309661789</v>
      </c>
      <c r="E162" s="31">
        <f>D162+E160</f>
        <v>0.8028038184665917</v>
      </c>
      <c r="F162" s="31">
        <f>E162+F160</f>
        <v>0.8666591655644128</v>
      </c>
      <c r="G162" s="31">
        <f>F162+G160</f>
        <v>0.9269149708650803</v>
      </c>
      <c r="H162" s="31">
        <f>G162+H160</f>
        <v>0.9999999781676856</v>
      </c>
      <c r="I162" s="31"/>
      <c r="J162" s="31"/>
      <c r="K162" s="31"/>
      <c r="L162" s="31"/>
      <c r="M162" s="31"/>
      <c r="N162" s="31"/>
      <c r="O162" s="47"/>
      <c r="P162" s="47"/>
    </row>
  </sheetData>
  <sheetProtection/>
  <mergeCells count="12">
    <mergeCell ref="B113:P113"/>
    <mergeCell ref="A119:P119"/>
    <mergeCell ref="C121:N121"/>
    <mergeCell ref="O121:O122"/>
    <mergeCell ref="C66:N66"/>
    <mergeCell ref="O66:O67"/>
    <mergeCell ref="B3:P3"/>
    <mergeCell ref="A9:P9"/>
    <mergeCell ref="C11:N11"/>
    <mergeCell ref="O11:O12"/>
    <mergeCell ref="B58:P58"/>
    <mergeCell ref="A64:P64"/>
  </mergeCells>
  <printOptions/>
  <pageMargins left="0.5118110236220472" right="0.5118110236220472" top="0.7874015748031497" bottom="0.7874015748031497" header="0.31496062992125984" footer="0.31496062992125984"/>
  <pageSetup fitToWidth="3" fitToHeight="1" horizontalDpi="600" verticalDpi="600" orientation="landscape" paperSize="9" scale="75" r:id="rId2"/>
  <colBreaks count="1" manualBreakCount="1">
    <brk id="16" max="2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2016-12-07T16:38:58Z</dcterms:created>
  <dcterms:modified xsi:type="dcterms:W3CDTF">2016-12-07T16:39:16Z</dcterms:modified>
  <cp:category/>
  <cp:version/>
  <cp:contentType/>
  <cp:contentStatus/>
</cp:coreProperties>
</file>